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760" windowHeight="8580" activeTab="2"/>
  </bookViews>
  <sheets>
    <sheet name="Cover Sheet" sheetId="5" r:id="rId1"/>
    <sheet name="Model OPC" sheetId="7" r:id="rId2"/>
    <sheet name="Large Model with Outputs" sheetId="1" r:id="rId3"/>
    <sheet name="Sheet1 (2)" sheetId="4" r:id="rId4"/>
    <sheet name="Sheet2" sheetId="2" r:id="rId5"/>
    <sheet name="Sheet3" sheetId="3" r:id="rId6"/>
  </sheets>
  <definedNames>
    <definedName name="_xlnm.Print_Area" localSheetId="2">'Large Model with Outputs'!$A$1:$L$45</definedName>
    <definedName name="_xlnm.Print_Area" localSheetId="1">'Model OPC'!$A$1:$L$45</definedName>
    <definedName name="_xlnm.Print_Area" localSheetId="3">'Sheet1 (2)'!$A$1:$R$37</definedName>
  </definedNames>
  <calcPr calcId="145621"/>
</workbook>
</file>

<file path=xl/calcChain.xml><?xml version="1.0" encoding="utf-8"?>
<calcChain xmlns="http://schemas.openxmlformats.org/spreadsheetml/2006/main">
  <c r="F5" i="7" l="1"/>
  <c r="F4" i="7"/>
  <c r="F3" i="7"/>
  <c r="F2" i="7"/>
  <c r="J42" i="7"/>
  <c r="J38" i="7"/>
  <c r="I38" i="7"/>
  <c r="H38" i="7"/>
  <c r="G38" i="7"/>
  <c r="F38" i="7"/>
  <c r="E38" i="7"/>
  <c r="D38" i="7"/>
  <c r="C38" i="7"/>
  <c r="J31" i="7"/>
  <c r="I31" i="7"/>
  <c r="H31" i="7"/>
  <c r="G31" i="7"/>
  <c r="F31" i="7"/>
  <c r="E31" i="7"/>
  <c r="D31" i="7"/>
  <c r="C31" i="7"/>
  <c r="J28" i="7"/>
  <c r="I28" i="7"/>
  <c r="H28" i="7"/>
  <c r="G28" i="7"/>
  <c r="F28" i="7"/>
  <c r="E28" i="7"/>
  <c r="D28" i="7"/>
  <c r="C28" i="7"/>
  <c r="J26" i="7"/>
  <c r="I26" i="7"/>
  <c r="H26" i="7"/>
  <c r="G26" i="7"/>
  <c r="F26" i="7"/>
  <c r="E26" i="7"/>
  <c r="D26" i="7"/>
  <c r="C26" i="7"/>
  <c r="J25" i="7"/>
  <c r="I25" i="7"/>
  <c r="H25" i="7"/>
  <c r="G25" i="7"/>
  <c r="F25" i="7"/>
  <c r="E25" i="7"/>
  <c r="D25" i="7"/>
  <c r="C25" i="7"/>
  <c r="J24" i="7"/>
  <c r="I24" i="7"/>
  <c r="H24" i="7"/>
  <c r="G24" i="7"/>
  <c r="F24" i="7"/>
  <c r="E24" i="7"/>
  <c r="D24" i="7"/>
  <c r="C24" i="7"/>
  <c r="J23" i="7"/>
  <c r="I23" i="7"/>
  <c r="H23" i="7"/>
  <c r="G23" i="7"/>
  <c r="F23" i="7"/>
  <c r="E23" i="7"/>
  <c r="D23" i="7"/>
  <c r="C23" i="7"/>
  <c r="J22" i="7"/>
  <c r="I22" i="7"/>
  <c r="H22" i="7"/>
  <c r="G22" i="7"/>
  <c r="F22" i="7"/>
  <c r="E22" i="7"/>
  <c r="D22" i="7"/>
  <c r="C22" i="7"/>
  <c r="J20" i="7"/>
  <c r="I20" i="7"/>
  <c r="H20" i="7"/>
  <c r="G20" i="7"/>
  <c r="F20" i="7"/>
  <c r="E20" i="7"/>
  <c r="D20" i="7"/>
  <c r="C20" i="7"/>
  <c r="J19" i="7"/>
  <c r="I19" i="7"/>
  <c r="H19" i="7"/>
  <c r="G19" i="7"/>
  <c r="F19" i="7"/>
  <c r="E19" i="7"/>
  <c r="D19" i="7"/>
  <c r="C19" i="7"/>
  <c r="J18" i="7"/>
  <c r="I18" i="7"/>
  <c r="H18" i="7"/>
  <c r="G18" i="7"/>
  <c r="F18" i="7"/>
  <c r="E18" i="7"/>
  <c r="D18" i="7"/>
  <c r="C18" i="7"/>
  <c r="J16" i="7"/>
  <c r="I16" i="7"/>
  <c r="H16" i="7"/>
  <c r="G16" i="7"/>
  <c r="F16" i="7"/>
  <c r="E16" i="7"/>
  <c r="D16" i="7"/>
  <c r="C16" i="7"/>
  <c r="J15" i="7"/>
  <c r="I15" i="7"/>
  <c r="H15" i="7"/>
  <c r="G15" i="7"/>
  <c r="F15" i="7"/>
  <c r="E15" i="7"/>
  <c r="D15" i="7"/>
  <c r="C15" i="7"/>
  <c r="J14" i="7"/>
  <c r="I14" i="7"/>
  <c r="H14" i="7"/>
  <c r="G14" i="7"/>
  <c r="F14" i="7"/>
  <c r="E14" i="7"/>
  <c r="D14" i="7"/>
  <c r="C14" i="7"/>
  <c r="J13" i="7"/>
  <c r="I13" i="7"/>
  <c r="H13" i="7"/>
  <c r="G13" i="7"/>
  <c r="F13" i="7"/>
  <c r="E13" i="7"/>
  <c r="D13" i="7"/>
  <c r="C13" i="7"/>
  <c r="J12" i="7"/>
  <c r="I12" i="7"/>
  <c r="H12" i="7"/>
  <c r="G12" i="7"/>
  <c r="F12" i="7"/>
  <c r="E12" i="7"/>
  <c r="D12" i="7"/>
  <c r="C12" i="7"/>
  <c r="J11" i="7"/>
  <c r="I11" i="7"/>
  <c r="H11" i="7"/>
  <c r="G11" i="7"/>
  <c r="F11" i="7"/>
  <c r="E11" i="7"/>
  <c r="D11" i="7"/>
  <c r="C11" i="7"/>
  <c r="J10" i="7"/>
  <c r="I10" i="7"/>
  <c r="H10" i="7"/>
  <c r="G10" i="7"/>
  <c r="F10" i="7"/>
  <c r="E10" i="7"/>
  <c r="D10" i="7"/>
  <c r="C10" i="7"/>
  <c r="J9" i="7"/>
  <c r="I9" i="7"/>
  <c r="H9" i="7"/>
  <c r="G9" i="7"/>
  <c r="F9" i="7"/>
  <c r="E9" i="7"/>
  <c r="D9" i="7"/>
  <c r="C9" i="7"/>
  <c r="J8" i="7"/>
  <c r="I8" i="7"/>
  <c r="AG11" i="7" s="1"/>
  <c r="H8" i="7"/>
  <c r="G8" i="7"/>
  <c r="F8" i="7"/>
  <c r="W16" i="7" s="1"/>
  <c r="E8" i="7"/>
  <c r="U8" i="7" s="1"/>
  <c r="D8" i="7"/>
  <c r="C8" i="7"/>
  <c r="B38" i="7"/>
  <c r="B31" i="7"/>
  <c r="B28" i="7"/>
  <c r="B26" i="7"/>
  <c r="B25" i="7"/>
  <c r="B24" i="7"/>
  <c r="B23" i="7"/>
  <c r="B22" i="7"/>
  <c r="B20" i="7"/>
  <c r="B19" i="7"/>
  <c r="B18" i="7"/>
  <c r="B16" i="7"/>
  <c r="B15" i="7"/>
  <c r="B14" i="7"/>
  <c r="B13" i="7"/>
  <c r="B12" i="7"/>
  <c r="B11" i="7"/>
  <c r="B10" i="7"/>
  <c r="B9" i="7"/>
  <c r="B8" i="7"/>
  <c r="B7" i="7"/>
  <c r="B5" i="7"/>
  <c r="B4" i="7"/>
  <c r="B3" i="7"/>
  <c r="B2" i="7"/>
  <c r="P16" i="7"/>
  <c r="AJ11" i="7"/>
  <c r="AD11" i="7"/>
  <c r="AA11" i="7"/>
  <c r="T11" i="7"/>
  <c r="N8" i="7"/>
  <c r="C37" i="1" l="1"/>
  <c r="C37" i="7" s="1"/>
  <c r="D37" i="1"/>
  <c r="D37" i="7" s="1"/>
  <c r="E37" i="1"/>
  <c r="E37" i="7" s="1"/>
  <c r="F37" i="1"/>
  <c r="F37" i="7" s="1"/>
  <c r="G37" i="1"/>
  <c r="G37" i="7" s="1"/>
  <c r="H37" i="1"/>
  <c r="H37" i="7" s="1"/>
  <c r="I37" i="1"/>
  <c r="I37" i="7" s="1"/>
  <c r="J37" i="1"/>
  <c r="J37" i="7" s="1"/>
  <c r="B37" i="1"/>
  <c r="B37" i="7" s="1"/>
  <c r="C38" i="1"/>
  <c r="D38" i="1"/>
  <c r="E38" i="1"/>
  <c r="F38" i="1"/>
  <c r="G38" i="1"/>
  <c r="H38" i="1"/>
  <c r="I38" i="1"/>
  <c r="J38" i="1"/>
  <c r="B38" i="1"/>
  <c r="D35" i="1"/>
  <c r="D35" i="7" s="1"/>
  <c r="E35" i="1"/>
  <c r="E35" i="7" s="1"/>
  <c r="H35" i="1"/>
  <c r="H35" i="7" s="1"/>
  <c r="I35" i="1"/>
  <c r="I35" i="7" s="1"/>
  <c r="H34" i="1"/>
  <c r="H34" i="7" s="1"/>
  <c r="H32" i="1"/>
  <c r="C31" i="1"/>
  <c r="C35" i="1" s="1"/>
  <c r="C35" i="7" s="1"/>
  <c r="D31" i="1"/>
  <c r="D34" i="1" s="1"/>
  <c r="D34" i="7" s="1"/>
  <c r="E31" i="1"/>
  <c r="F31" i="1"/>
  <c r="F35" i="1" s="1"/>
  <c r="F35" i="7" s="1"/>
  <c r="G31" i="1"/>
  <c r="H31" i="1"/>
  <c r="I31" i="1"/>
  <c r="J31" i="1"/>
  <c r="J35" i="1" s="1"/>
  <c r="J35" i="7" s="1"/>
  <c r="B31" i="1"/>
  <c r="J30" i="1"/>
  <c r="AJ11" i="1"/>
  <c r="AG11" i="1"/>
  <c r="AD11" i="1"/>
  <c r="AA11" i="1"/>
  <c r="W16" i="1"/>
  <c r="U8" i="1"/>
  <c r="T11" i="1"/>
  <c r="P16" i="1"/>
  <c r="N8" i="1"/>
  <c r="I34" i="1" l="1"/>
  <c r="I34" i="7" s="1"/>
  <c r="H33" i="1"/>
  <c r="H33" i="7" s="1"/>
  <c r="H32" i="7"/>
  <c r="J29" i="1"/>
  <c r="J43" i="1" s="1"/>
  <c r="J43" i="7" s="1"/>
  <c r="J30" i="7"/>
  <c r="AK4" i="7" s="1"/>
  <c r="B32" i="1"/>
  <c r="B32" i="7" s="1"/>
  <c r="G32" i="1"/>
  <c r="G34" i="1" s="1"/>
  <c r="G34" i="7" s="1"/>
  <c r="J32" i="1"/>
  <c r="F32" i="1"/>
  <c r="J34" i="1"/>
  <c r="J34" i="7" s="1"/>
  <c r="F34" i="1"/>
  <c r="F34" i="7" s="1"/>
  <c r="G35" i="1"/>
  <c r="G35" i="7" s="1"/>
  <c r="B35" i="1"/>
  <c r="B35" i="7" s="1"/>
  <c r="I32" i="1"/>
  <c r="E32" i="1"/>
  <c r="C32" i="1"/>
  <c r="D32" i="1"/>
  <c r="AK4" i="1"/>
  <c r="B33" i="1" l="1"/>
  <c r="B33" i="7" s="1"/>
  <c r="J33" i="1"/>
  <c r="J33" i="7" s="1"/>
  <c r="J32" i="7"/>
  <c r="I33" i="1"/>
  <c r="I33" i="7" s="1"/>
  <c r="I32" i="7"/>
  <c r="G33" i="1"/>
  <c r="G33" i="7" s="1"/>
  <c r="G32" i="7"/>
  <c r="F33" i="1"/>
  <c r="F33" i="7" s="1"/>
  <c r="F32" i="7"/>
  <c r="E33" i="1"/>
  <c r="E33" i="7" s="1"/>
  <c r="E32" i="7"/>
  <c r="K35" i="1"/>
  <c r="K35" i="7" s="1"/>
  <c r="B34" i="1"/>
  <c r="B34" i="7" s="1"/>
  <c r="C33" i="1"/>
  <c r="C33" i="7" s="1"/>
  <c r="C32" i="7"/>
  <c r="I30" i="1"/>
  <c r="I29" i="1" s="1"/>
  <c r="I29" i="7" s="1"/>
  <c r="AG12" i="7" s="1"/>
  <c r="D33" i="1"/>
  <c r="D33" i="7" s="1"/>
  <c r="D32" i="7"/>
  <c r="J36" i="1"/>
  <c r="AJ12" i="1"/>
  <c r="J29" i="7"/>
  <c r="AJ12" i="7" s="1"/>
  <c r="C34" i="1"/>
  <c r="C34" i="7" s="1"/>
  <c r="E34" i="1"/>
  <c r="E34" i="7" s="1"/>
  <c r="E31" i="4"/>
  <c r="D31" i="4"/>
  <c r="C31" i="4"/>
  <c r="B31" i="4"/>
  <c r="E26" i="4"/>
  <c r="D26" i="4"/>
  <c r="C26" i="4"/>
  <c r="B26" i="4"/>
  <c r="E25" i="4"/>
  <c r="E28" i="4" s="1"/>
  <c r="D25" i="4"/>
  <c r="D29" i="4" s="1"/>
  <c r="C25" i="4"/>
  <c r="C28" i="4" s="1"/>
  <c r="B25" i="4"/>
  <c r="B29" i="4" s="1"/>
  <c r="G23" i="4"/>
  <c r="G30" i="4" s="1"/>
  <c r="J16" i="4"/>
  <c r="Q11" i="4"/>
  <c r="N11" i="4"/>
  <c r="E11" i="4"/>
  <c r="E32" i="4" s="1"/>
  <c r="D11" i="4"/>
  <c r="D32" i="4" s="1"/>
  <c r="C11" i="4"/>
  <c r="C32" i="4" s="1"/>
  <c r="B11" i="4"/>
  <c r="B32" i="4" s="1"/>
  <c r="H8" i="4"/>
  <c r="I30" i="7" l="1"/>
  <c r="AH4" i="7" s="1"/>
  <c r="AH4" i="1"/>
  <c r="J39" i="1"/>
  <c r="J36" i="7"/>
  <c r="AE4" i="7"/>
  <c r="I36" i="1"/>
  <c r="I43" i="1"/>
  <c r="I43" i="7" s="1"/>
  <c r="H30" i="1"/>
  <c r="H30" i="7" s="1"/>
  <c r="AG12" i="1"/>
  <c r="E27" i="4"/>
  <c r="E29" i="4"/>
  <c r="C27" i="4"/>
  <c r="C29" i="4"/>
  <c r="E23" i="4"/>
  <c r="D27" i="4"/>
  <c r="D28" i="4"/>
  <c r="B27" i="4"/>
  <c r="B28" i="4"/>
  <c r="I39" i="1" l="1"/>
  <c r="I39" i="7" s="1"/>
  <c r="I36" i="7"/>
  <c r="J40" i="1"/>
  <c r="J39" i="7"/>
  <c r="H29" i="1"/>
  <c r="H29" i="7" s="1"/>
  <c r="AD12" i="7" s="1"/>
  <c r="AE4" i="1"/>
  <c r="D23" i="4"/>
  <c r="E30" i="4"/>
  <c r="E33" i="4" s="1"/>
  <c r="E24" i="4"/>
  <c r="I42" i="1" l="1"/>
  <c r="I42" i="7" s="1"/>
  <c r="J41" i="1"/>
  <c r="J41" i="7" s="1"/>
  <c r="J40" i="7"/>
  <c r="I40" i="1"/>
  <c r="H43" i="1"/>
  <c r="H43" i="7" s="1"/>
  <c r="H36" i="1"/>
  <c r="AD12" i="1"/>
  <c r="G30" i="1"/>
  <c r="G30" i="7" s="1"/>
  <c r="AB4" i="7" s="1"/>
  <c r="E34" i="4"/>
  <c r="E35" i="4" s="1"/>
  <c r="E36" i="4"/>
  <c r="D30" i="4"/>
  <c r="D33" i="4" s="1"/>
  <c r="D24" i="4"/>
  <c r="B23" i="4"/>
  <c r="I41" i="1" l="1"/>
  <c r="I41" i="7" s="1"/>
  <c r="I40" i="7"/>
  <c r="H39" i="1"/>
  <c r="H39" i="7" s="1"/>
  <c r="H36" i="7"/>
  <c r="G29" i="1"/>
  <c r="G29" i="7" s="1"/>
  <c r="AA12" i="7" s="1"/>
  <c r="AB4" i="1"/>
  <c r="D34" i="4"/>
  <c r="D35" i="4" s="1"/>
  <c r="D36" i="4"/>
  <c r="B24" i="4"/>
  <c r="C23" i="4"/>
  <c r="B30" i="4"/>
  <c r="H40" i="1" l="1"/>
  <c r="H41" i="1" s="1"/>
  <c r="H41" i="7" s="1"/>
  <c r="H42" i="1"/>
  <c r="H42" i="7" s="1"/>
  <c r="Y4" i="7"/>
  <c r="G36" i="1"/>
  <c r="G43" i="1"/>
  <c r="G43" i="7" s="1"/>
  <c r="AA12" i="1"/>
  <c r="Y4" i="1"/>
  <c r="E29" i="1"/>
  <c r="E29" i="7" s="1"/>
  <c r="B37" i="4"/>
  <c r="B33" i="4"/>
  <c r="C30" i="4"/>
  <c r="C33" i="4" s="1"/>
  <c r="C24" i="4"/>
  <c r="H40" i="7" l="1"/>
  <c r="G39" i="1"/>
  <c r="G39" i="7" s="1"/>
  <c r="G36" i="7"/>
  <c r="E36" i="1"/>
  <c r="D30" i="1"/>
  <c r="D29" i="1"/>
  <c r="D29" i="7" s="1"/>
  <c r="R4" i="7" s="1"/>
  <c r="F29" i="1"/>
  <c r="F29" i="7" s="1"/>
  <c r="U10" i="7" s="1"/>
  <c r="E30" i="1"/>
  <c r="C36" i="4"/>
  <c r="C34" i="4"/>
  <c r="C35" i="4" s="1"/>
  <c r="G33" i="4"/>
  <c r="B36" i="4"/>
  <c r="G36" i="4" s="1"/>
  <c r="B34" i="4"/>
  <c r="G42" i="1" l="1"/>
  <c r="G42" i="7" s="1"/>
  <c r="E39" i="1"/>
  <c r="E39" i="7" s="1"/>
  <c r="E36" i="7"/>
  <c r="T12" i="7"/>
  <c r="U4" i="1"/>
  <c r="D30" i="7"/>
  <c r="U4" i="7" s="1"/>
  <c r="W17" i="7"/>
  <c r="E43" i="1"/>
  <c r="E43" i="7" s="1"/>
  <c r="E30" i="7"/>
  <c r="X4" i="7" s="1"/>
  <c r="G40" i="1"/>
  <c r="D43" i="1"/>
  <c r="D43" i="7" s="1"/>
  <c r="D36" i="1"/>
  <c r="F36" i="1"/>
  <c r="X4" i="1"/>
  <c r="F30" i="1"/>
  <c r="U10" i="1"/>
  <c r="W17" i="1"/>
  <c r="T12" i="1"/>
  <c r="B29" i="1"/>
  <c r="B29" i="7" s="1"/>
  <c r="N4" i="7" s="1"/>
  <c r="R4" i="1"/>
  <c r="G34" i="4"/>
  <c r="B35" i="4"/>
  <c r="G35" i="4" s="1"/>
  <c r="E42" i="1" l="1"/>
  <c r="E42" i="7" s="1"/>
  <c r="E40" i="1"/>
  <c r="E41" i="1" s="1"/>
  <c r="E41" i="7" s="1"/>
  <c r="X9" i="1"/>
  <c r="F30" i="7"/>
  <c r="X9" i="7" s="1"/>
  <c r="F39" i="1"/>
  <c r="F39" i="7" s="1"/>
  <c r="F36" i="7"/>
  <c r="D39" i="1"/>
  <c r="D39" i="7" s="1"/>
  <c r="D36" i="7"/>
  <c r="G41" i="1"/>
  <c r="G41" i="7" s="1"/>
  <c r="G40" i="7"/>
  <c r="B36" i="1"/>
  <c r="F43" i="1"/>
  <c r="F43" i="7" s="1"/>
  <c r="B30" i="1"/>
  <c r="C29" i="1"/>
  <c r="C29" i="7" s="1"/>
  <c r="N10" i="7" s="1"/>
  <c r="N4" i="1"/>
  <c r="E40" i="7" l="1"/>
  <c r="P17" i="7"/>
  <c r="F40" i="1"/>
  <c r="F40" i="7" s="1"/>
  <c r="D40" i="1"/>
  <c r="D41" i="1" s="1"/>
  <c r="D41" i="7" s="1"/>
  <c r="B39" i="1"/>
  <c r="B39" i="7" s="1"/>
  <c r="B36" i="7"/>
  <c r="F42" i="1"/>
  <c r="F42" i="7" s="1"/>
  <c r="D42" i="1"/>
  <c r="D42" i="7" s="1"/>
  <c r="B43" i="1"/>
  <c r="B43" i="7" s="1"/>
  <c r="B30" i="7"/>
  <c r="Q4" i="7" s="1"/>
  <c r="F41" i="1"/>
  <c r="F41" i="7" s="1"/>
  <c r="C36" i="1"/>
  <c r="P17" i="1"/>
  <c r="C30" i="1"/>
  <c r="N10" i="1"/>
  <c r="Q4" i="1"/>
  <c r="B42" i="1" l="1"/>
  <c r="B42" i="7" s="1"/>
  <c r="D40" i="7"/>
  <c r="C39" i="1"/>
  <c r="C39" i="7" s="1"/>
  <c r="C36" i="7"/>
  <c r="Q9" i="1"/>
  <c r="C30" i="7"/>
  <c r="Q9" i="7" s="1"/>
  <c r="B40" i="1"/>
  <c r="C43" i="1"/>
  <c r="C43" i="7" s="1"/>
  <c r="K43" i="7" s="1"/>
  <c r="C40" i="1" l="1"/>
  <c r="C42" i="1"/>
  <c r="B41" i="1"/>
  <c r="B41" i="7" s="1"/>
  <c r="B40" i="7"/>
  <c r="B44" i="1"/>
  <c r="B44" i="7" s="1"/>
  <c r="K43" i="1"/>
  <c r="L42" i="1" l="1"/>
  <c r="L42" i="7" s="1"/>
  <c r="C42" i="7"/>
  <c r="C41" i="1"/>
  <c r="C40" i="7"/>
  <c r="L41" i="1" l="1"/>
  <c r="L41" i="7" s="1"/>
  <c r="C41" i="7"/>
</calcChain>
</file>

<file path=xl/sharedStrings.xml><?xml version="1.0" encoding="utf-8"?>
<sst xmlns="http://schemas.openxmlformats.org/spreadsheetml/2006/main" count="407" uniqueCount="125">
  <si>
    <t>Machine 1</t>
  </si>
  <si>
    <t>Machine 2</t>
  </si>
  <si>
    <t>Machine 3</t>
  </si>
  <si>
    <t>Machine 4</t>
  </si>
  <si>
    <t>Scrap Rate:</t>
  </si>
  <si>
    <t>Footprint Length:</t>
  </si>
  <si>
    <t>Footprint Width:</t>
  </si>
  <si>
    <t>Efficiency:</t>
  </si>
  <si>
    <t>System Quota:</t>
  </si>
  <si>
    <t>MTTF:</t>
  </si>
  <si>
    <t>minutes</t>
  </si>
  <si>
    <t>yearly</t>
  </si>
  <si>
    <t>feet</t>
  </si>
  <si>
    <t>Diagnosis Time:</t>
  </si>
  <si>
    <t>Repair Time:</t>
  </si>
  <si>
    <t>Replacement Time:</t>
  </si>
  <si>
    <t>Return to Service Time:</t>
  </si>
  <si>
    <t>Days per Year:</t>
  </si>
  <si>
    <t>Shifts per Day:</t>
  </si>
  <si>
    <t>Hours per Shift:</t>
  </si>
  <si>
    <t>Machine Hourly Rate:</t>
  </si>
  <si>
    <t>Operator Hourly Rate:</t>
  </si>
  <si>
    <t>Operator Overhead:</t>
  </si>
  <si>
    <t>Concurrent Time:</t>
  </si>
  <si>
    <t>Autonomous Machine Time:</t>
  </si>
  <si>
    <t>seconds</t>
  </si>
  <si>
    <t>Operator Travel Time:</t>
  </si>
  <si>
    <t>Operator Ind. Tasks Time:</t>
  </si>
  <si>
    <t>Output from Station:</t>
  </si>
  <si>
    <t>Input at Station:</t>
  </si>
  <si>
    <t>Ideal Assignment:</t>
  </si>
  <si>
    <t>Machine Assignment:</t>
  </si>
  <si>
    <t>machines/operator</t>
  </si>
  <si>
    <t>Operator Idle Time:</t>
  </si>
  <si>
    <t>Machine Idle Time:</t>
  </si>
  <si>
    <t>Cost per Unit:</t>
  </si>
  <si>
    <t>Quota per Shift:</t>
  </si>
  <si>
    <t>Time per Shift:</t>
  </si>
  <si>
    <t>seconds per shift</t>
  </si>
  <si>
    <t>Availability:</t>
  </si>
  <si>
    <t>Equipment Fraction:</t>
  </si>
  <si>
    <t>Equip Fraction Ceiling:</t>
  </si>
  <si>
    <t>sq feet</t>
  </si>
  <si>
    <t>Space Required (Mass Prod):</t>
  </si>
  <si>
    <t>Space Required (Job Shop):</t>
  </si>
  <si>
    <t>Total Cost/ Good Unit:</t>
  </si>
  <si>
    <t>Cycle Time (Steady State):</t>
  </si>
  <si>
    <t>per unit</t>
  </si>
  <si>
    <t>units/day</t>
  </si>
  <si>
    <t>units/shift</t>
  </si>
  <si>
    <r>
      <rPr>
        <b/>
        <sz val="11"/>
        <color theme="1"/>
        <rFont val="Calibri"/>
        <family val="2"/>
        <scheme val="minor"/>
      </rPr>
      <t xml:space="preserve">I 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</si>
  <si>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I 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</si>
  <si>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I 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</si>
  <si>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O 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</si>
  <si>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O 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</si>
  <si>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O 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</si>
  <si>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S 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</si>
  <si>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S 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</si>
  <si>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S 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</si>
  <si>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>S</t>
    </r>
    <r>
      <rPr>
        <b/>
        <vertAlign val="subscript"/>
        <sz val="11"/>
        <color theme="1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</si>
  <si>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O </t>
    </r>
    <r>
      <rPr>
        <b/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I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= </t>
    </r>
  </si>
  <si>
    <t>Totals:</t>
  </si>
  <si>
    <t>Job Shop</t>
  </si>
  <si>
    <t>Mass Prod</t>
  </si>
  <si>
    <t>Homework Problem 3:</t>
  </si>
  <si>
    <t>HW 3, cont.</t>
  </si>
  <si>
    <t>Output:</t>
  </si>
  <si>
    <t>TS</t>
  </si>
  <si>
    <t>DD</t>
  </si>
  <si>
    <t>RC</t>
  </si>
  <si>
    <t>FM</t>
  </si>
  <si>
    <t>BP</t>
  </si>
  <si>
    <t>DO</t>
  </si>
  <si>
    <t>MP</t>
  </si>
  <si>
    <t>seconds / machine assigned</t>
  </si>
  <si>
    <t>Metal Cast (MC)</t>
  </si>
  <si>
    <t>MC</t>
  </si>
  <si>
    <t>Re-Cast  (RC)</t>
  </si>
  <si>
    <t>Found in Media (FM)</t>
  </si>
  <si>
    <t>Base Paint   (BP)</t>
  </si>
  <si>
    <t>Drying Oven (DO)</t>
  </si>
  <si>
    <t>Mask Paint   (MP)</t>
  </si>
  <si>
    <t>Days per Period:</t>
  </si>
  <si>
    <t>Breaks per Shift:</t>
  </si>
  <si>
    <t>Meals per Shift:</t>
  </si>
  <si>
    <t>Quota per period:</t>
  </si>
  <si>
    <t>Length of Break:</t>
  </si>
  <si>
    <t>Length of Meal:</t>
  </si>
  <si>
    <t>Degrease / Deburr (DD)</t>
  </si>
  <si>
    <r>
      <rPr>
        <b/>
        <sz val="11"/>
        <color theme="1"/>
        <rFont val="Calibri"/>
        <family val="2"/>
        <scheme val="minor"/>
      </rPr>
      <t xml:space="preserve">P </t>
    </r>
    <r>
      <rPr>
        <b/>
        <vertAlign val="subscript"/>
        <sz val="11"/>
        <color theme="1"/>
        <rFont val="Calibri"/>
        <family val="2"/>
        <scheme val="minor"/>
      </rPr>
      <t>MC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</si>
  <si>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I </t>
    </r>
    <r>
      <rPr>
        <b/>
        <vertAlign val="subscript"/>
        <sz val="11"/>
        <color theme="1"/>
        <rFont val="Calibri"/>
        <family val="2"/>
        <scheme val="minor"/>
      </rPr>
      <t>RC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</si>
  <si>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O </t>
    </r>
    <r>
      <rPr>
        <b/>
        <vertAlign val="subscript"/>
        <sz val="11"/>
        <color theme="1"/>
        <rFont val="Calibri"/>
        <family val="2"/>
        <scheme val="minor"/>
      </rPr>
      <t>MC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</si>
  <si>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O </t>
    </r>
    <r>
      <rPr>
        <b/>
        <vertAlign val="subscript"/>
        <sz val="11"/>
        <color theme="1"/>
        <rFont val="Calibri"/>
        <family val="2"/>
        <scheme val="minor"/>
      </rPr>
      <t>RC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</si>
  <si>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I </t>
    </r>
    <r>
      <rPr>
        <b/>
        <vertAlign val="subscript"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</si>
  <si>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P </t>
    </r>
    <r>
      <rPr>
        <b/>
        <vertAlign val="subscript"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 xml:space="preserve"> =</t>
    </r>
  </si>
  <si>
    <t>Trim Station (TS)</t>
  </si>
  <si>
    <r>
      <rPr>
        <b/>
        <sz val="11"/>
        <color theme="1"/>
        <rFont val="Calibri"/>
        <family val="2"/>
        <scheme val="minor"/>
      </rPr>
      <t xml:space="preserve">O </t>
    </r>
    <r>
      <rPr>
        <b/>
        <vertAlign val="subscript"/>
        <sz val="11"/>
        <color theme="1"/>
        <rFont val="Calibri"/>
        <family val="2"/>
        <scheme val="minor"/>
      </rPr>
      <t>TS</t>
    </r>
    <r>
      <rPr>
        <sz val="11"/>
        <color theme="1"/>
        <rFont val="Calibri"/>
        <family val="2"/>
        <scheme val="minor"/>
      </rPr>
      <t xml:space="preserve"> = I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bscript"/>
        <sz val="11"/>
        <color theme="1"/>
        <rFont val="Calibri"/>
        <family val="2"/>
        <scheme val="minor"/>
      </rPr>
      <t>DD</t>
    </r>
    <r>
      <rPr>
        <sz val="11"/>
        <color theme="1"/>
        <rFont val="Calibri"/>
        <family val="2"/>
        <scheme val="minor"/>
      </rPr>
      <t xml:space="preserve"> = </t>
    </r>
  </si>
  <si>
    <r>
      <rPr>
        <b/>
        <sz val="11"/>
        <color theme="1"/>
        <rFont val="Calibri"/>
        <family val="2"/>
        <scheme val="minor"/>
      </rPr>
      <t xml:space="preserve">P </t>
    </r>
    <r>
      <rPr>
        <b/>
        <vertAlign val="subscript"/>
        <sz val="11"/>
        <color theme="1"/>
        <rFont val="Calibri"/>
        <family val="2"/>
        <scheme val="minor"/>
      </rPr>
      <t>DD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</si>
  <si>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I </t>
    </r>
    <r>
      <rPr>
        <b/>
        <vertAlign val="subscript"/>
        <sz val="11"/>
        <color theme="1"/>
        <rFont val="Calibri"/>
        <family val="2"/>
        <scheme val="minor"/>
      </rPr>
      <t>FM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</si>
  <si>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>P</t>
    </r>
    <r>
      <rPr>
        <b/>
        <vertAlign val="subscript"/>
        <sz val="11"/>
        <color theme="1"/>
        <rFont val="Calibri"/>
        <family val="2"/>
        <scheme val="minor"/>
      </rPr>
      <t xml:space="preserve"> FM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</si>
  <si>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>P</t>
    </r>
    <r>
      <rPr>
        <b/>
        <vertAlign val="subscript"/>
        <sz val="11"/>
        <color theme="1"/>
        <rFont val="Calibri"/>
        <family val="2"/>
        <scheme val="minor"/>
      </rPr>
      <t xml:space="preserve"> RC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</si>
  <si>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O </t>
    </r>
    <r>
      <rPr>
        <b/>
        <vertAlign val="subscript"/>
        <sz val="11"/>
        <color theme="1"/>
        <rFont val="Calibri"/>
        <family val="2"/>
        <scheme val="minor"/>
      </rPr>
      <t>DD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</si>
  <si>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I </t>
    </r>
    <r>
      <rPr>
        <b/>
        <vertAlign val="subscript"/>
        <sz val="11"/>
        <color theme="1"/>
        <rFont val="Calibri"/>
        <family val="2"/>
        <scheme val="minor"/>
      </rPr>
      <t>BP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</si>
  <si>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O </t>
    </r>
    <r>
      <rPr>
        <b/>
        <vertAlign val="subscript"/>
        <sz val="11"/>
        <color theme="1"/>
        <rFont val="Calibri"/>
        <family val="2"/>
        <scheme val="minor"/>
      </rPr>
      <t>FM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</si>
  <si>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P </t>
    </r>
    <r>
      <rPr>
        <b/>
        <vertAlign val="subscript"/>
        <sz val="11"/>
        <color theme="1"/>
        <rFont val="Calibri"/>
        <family val="2"/>
        <scheme val="minor"/>
      </rPr>
      <t>BP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</si>
  <si>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O </t>
    </r>
    <r>
      <rPr>
        <b/>
        <vertAlign val="subscript"/>
        <sz val="11"/>
        <color theme="1"/>
        <rFont val="Calibri"/>
        <family val="2"/>
        <scheme val="minor"/>
      </rPr>
      <t>BP</t>
    </r>
    <r>
      <rPr>
        <sz val="11"/>
        <color theme="1"/>
        <rFont val="Calibri"/>
        <family val="2"/>
        <scheme val="minor"/>
      </rPr>
      <t xml:space="preserve"> = I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b/>
        <vertAlign val="subscript"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= </t>
    </r>
  </si>
  <si>
    <r>
      <rPr>
        <b/>
        <sz val="11"/>
        <color theme="1"/>
        <rFont val="Calibri"/>
        <family val="2"/>
        <scheme val="minor"/>
      </rPr>
      <t xml:space="preserve">P </t>
    </r>
    <r>
      <rPr>
        <b/>
        <vertAlign val="subscript"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</si>
  <si>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O </t>
    </r>
    <r>
      <rPr>
        <b/>
        <vertAlign val="subscript"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= I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b/>
        <vertAlign val="subscript"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 xml:space="preserve"> = </t>
    </r>
  </si>
  <si>
    <r>
      <rPr>
        <b/>
        <sz val="11"/>
        <color theme="1"/>
        <rFont val="Calibri"/>
        <family val="2"/>
        <scheme val="minor"/>
      </rPr>
      <t xml:space="preserve">P </t>
    </r>
    <r>
      <rPr>
        <b/>
        <vertAlign val="subscript"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</si>
  <si>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 xml:space="preserve">O </t>
    </r>
    <r>
      <rPr>
        <b/>
        <vertAlign val="subscript"/>
        <sz val="11"/>
        <color theme="1"/>
        <rFont val="Calibri"/>
        <family val="2"/>
        <scheme val="minor"/>
      </rPr>
      <t>MP</t>
    </r>
    <r>
      <rPr>
        <sz val="11"/>
        <color theme="1"/>
        <rFont val="Calibri"/>
        <family val="2"/>
        <scheme val="minor"/>
      </rPr>
      <t xml:space="preserve"> = I</t>
    </r>
    <r>
      <rPr>
        <vertAlign val="subscript"/>
        <sz val="11"/>
        <color theme="1"/>
        <rFont val="Calibri"/>
        <family val="2"/>
        <scheme val="minor"/>
      </rPr>
      <t xml:space="preserve"> </t>
    </r>
    <r>
      <rPr>
        <b/>
        <vertAlign val="subscript"/>
        <sz val="11"/>
        <color theme="1"/>
        <rFont val="Calibri"/>
        <family val="2"/>
        <scheme val="minor"/>
      </rPr>
      <t>DO</t>
    </r>
    <r>
      <rPr>
        <sz val="11"/>
        <color theme="1"/>
        <rFont val="Calibri"/>
        <family val="2"/>
        <scheme val="minor"/>
      </rPr>
      <t xml:space="preserve"> = </t>
    </r>
  </si>
  <si>
    <r>
      <rPr>
        <b/>
        <sz val="11"/>
        <color theme="1"/>
        <rFont val="Calibri"/>
        <family val="2"/>
        <scheme val="minor"/>
      </rPr>
      <t xml:space="preserve">O </t>
    </r>
    <r>
      <rPr>
        <b/>
        <vertAlign val="subscript"/>
        <sz val="11"/>
        <color theme="1"/>
        <rFont val="Calibri"/>
        <family val="2"/>
        <scheme val="minor"/>
      </rPr>
      <t>MC</t>
    </r>
    <r>
      <rPr>
        <sz val="11"/>
        <color theme="1"/>
        <rFont val="Calibri"/>
        <family val="2"/>
        <scheme val="minor"/>
      </rPr>
      <t xml:space="preserve"> = 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=</t>
    </r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</si>
  <si>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</t>
    </r>
    <r>
      <rPr>
        <b/>
        <sz val="11"/>
        <color theme="1"/>
        <rFont val="Calibri"/>
        <family val="2"/>
        <scheme val="minor"/>
      </rPr>
      <t xml:space="preserve">I </t>
    </r>
    <r>
      <rPr>
        <b/>
        <vertAlign val="subscript"/>
        <sz val="11"/>
        <color theme="1"/>
        <rFont val="Calibri"/>
        <family val="2"/>
        <scheme val="minor"/>
      </rPr>
      <t>MC</t>
    </r>
    <r>
      <rPr>
        <sz val="11"/>
        <color theme="1"/>
        <rFont val="Calibri"/>
        <family val="2"/>
        <scheme val="minor"/>
      </rPr>
      <t xml:space="preserve"> =</t>
    </r>
  </si>
  <si>
    <t>Material Cost from BOM:</t>
  </si>
  <si>
    <t>Total Cost/Unit</t>
  </si>
  <si>
    <t>Total Space</t>
  </si>
  <si>
    <t>Total Cost/Good Unit</t>
  </si>
  <si>
    <t>Station Total Cost/ Good Unit:</t>
  </si>
  <si>
    <t>IENG 471</t>
  </si>
  <si>
    <t>Facilities Planning</t>
  </si>
  <si>
    <t>HW 04:</t>
  </si>
  <si>
    <t>Scheduling Model for Facilities Planning</t>
  </si>
  <si>
    <t>Submitted:</t>
  </si>
  <si>
    <t>Sept. 14, 2017</t>
  </si>
  <si>
    <t>Team Members:</t>
  </si>
  <si>
    <t>Dr. D. H. Jensen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</si>
</sst>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71D4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4D490"/>
      </left>
      <right style="thin">
        <color rgb="FFE4D490"/>
      </right>
      <top style="thin">
        <color rgb="FFE4D490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164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4" fontId="0" fillId="0" borderId="0" xfId="1" applyFont="1" applyAlignment="1"/>
    <xf numFmtId="44" fontId="0" fillId="0" borderId="0" xfId="1" applyFont="1" applyAlignment="1">
      <alignment horizontal="center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8" fillId="0" borderId="0" xfId="0" applyFont="1"/>
    <xf numFmtId="0" fontId="9" fillId="0" borderId="0" xfId="0" applyFont="1"/>
    <xf numFmtId="0" fontId="3" fillId="0" borderId="0" xfId="0" applyFont="1"/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37" fontId="0" fillId="0" borderId="0" xfId="3" applyNumberFormat="1" applyFont="1" applyAlignment="1">
      <alignment horizontal="left"/>
    </xf>
    <xf numFmtId="37" fontId="0" fillId="0" borderId="0" xfId="3" applyNumberFormat="1" applyFon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9" fontId="0" fillId="0" borderId="0" xfId="2" applyFont="1"/>
    <xf numFmtId="0" fontId="0" fillId="0" borderId="0" xfId="0" applyFill="1"/>
    <xf numFmtId="3" fontId="0" fillId="0" borderId="6" xfId="0" applyNumberForma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0" fontId="0" fillId="0" borderId="6" xfId="2" applyNumberFormat="1" applyFont="1" applyBorder="1" applyAlignment="1">
      <alignment horizontal="center"/>
    </xf>
    <xf numFmtId="0" fontId="3" fillId="2" borderId="0" xfId="0" applyFont="1" applyFill="1" applyAlignment="1">
      <alignment horizontal="right"/>
    </xf>
    <xf numFmtId="3" fontId="0" fillId="2" borderId="6" xfId="0" applyNumberFormat="1" applyFill="1" applyBorder="1" applyAlignment="1">
      <alignment horizontal="center"/>
    </xf>
    <xf numFmtId="0" fontId="0" fillId="2" borderId="0" xfId="0" applyFill="1"/>
    <xf numFmtId="0" fontId="0" fillId="2" borderId="6" xfId="0" applyFill="1" applyBorder="1" applyAlignment="1">
      <alignment horizontal="center"/>
    </xf>
    <xf numFmtId="44" fontId="0" fillId="2" borderId="6" xfId="1" applyFont="1" applyFill="1" applyBorder="1"/>
    <xf numFmtId="44" fontId="0" fillId="2" borderId="0" xfId="1" applyFont="1" applyFill="1"/>
    <xf numFmtId="9" fontId="0" fillId="2" borderId="0" xfId="2" applyFont="1" applyFill="1" applyAlignment="1">
      <alignment horizontal="center"/>
    </xf>
    <xf numFmtId="10" fontId="0" fillId="2" borderId="6" xfId="2" applyNumberFormat="1" applyFont="1" applyFill="1" applyBorder="1" applyAlignment="1">
      <alignment horizontal="center"/>
    </xf>
    <xf numFmtId="164" fontId="0" fillId="2" borderId="6" xfId="2" applyNumberFormat="1" applyFont="1" applyFill="1" applyBorder="1" applyAlignment="1">
      <alignment horizontal="center"/>
    </xf>
    <xf numFmtId="9" fontId="0" fillId="2" borderId="6" xfId="2" applyFont="1" applyFill="1" applyBorder="1" applyAlignment="1">
      <alignment horizontal="center"/>
    </xf>
    <xf numFmtId="0" fontId="3" fillId="3" borderId="0" xfId="0" applyFont="1" applyFill="1" applyAlignment="1">
      <alignment horizontal="right"/>
    </xf>
    <xf numFmtId="44" fontId="0" fillId="3" borderId="6" xfId="1" applyFont="1" applyFill="1" applyBorder="1" applyAlignment="1"/>
    <xf numFmtId="44" fontId="3" fillId="3" borderId="5" xfId="0" applyNumberFormat="1" applyFont="1" applyFill="1" applyBorder="1"/>
    <xf numFmtId="0" fontId="3" fillId="3" borderId="0" xfId="0" applyFont="1" applyFill="1" applyAlignment="1">
      <alignment horizontal="left"/>
    </xf>
    <xf numFmtId="9" fontId="3" fillId="3" borderId="0" xfId="2" applyFont="1" applyFill="1" applyAlignment="1">
      <alignment horizontal="right"/>
    </xf>
    <xf numFmtId="44" fontId="3" fillId="3" borderId="5" xfId="1" applyFont="1" applyFill="1" applyBorder="1" applyAlignment="1">
      <alignment horizontal="center"/>
    </xf>
    <xf numFmtId="9" fontId="3" fillId="3" borderId="0" xfId="2" applyFont="1" applyFill="1"/>
    <xf numFmtId="0" fontId="3" fillId="4" borderId="0" xfId="0" applyFont="1" applyFill="1" applyAlignment="1">
      <alignment horizontal="right"/>
    </xf>
    <xf numFmtId="2" fontId="0" fillId="4" borderId="6" xfId="0" applyNumberFormat="1" applyFill="1" applyBorder="1" applyAlignment="1">
      <alignment horizontal="center"/>
    </xf>
    <xf numFmtId="0" fontId="0" fillId="4" borderId="0" xfId="0" applyFill="1"/>
    <xf numFmtId="1" fontId="0" fillId="4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5" borderId="0" xfId="0" applyFont="1" applyFill="1" applyAlignment="1">
      <alignment horizontal="right"/>
    </xf>
    <xf numFmtId="37" fontId="0" fillId="5" borderId="6" xfId="3" applyNumberFormat="1" applyFont="1" applyFill="1" applyBorder="1" applyAlignment="1">
      <alignment horizontal="center"/>
    </xf>
    <xf numFmtId="0" fontId="0" fillId="5" borderId="0" xfId="0" applyFill="1"/>
    <xf numFmtId="0" fontId="7" fillId="5" borderId="0" xfId="0" applyFont="1" applyFill="1" applyAlignment="1">
      <alignment horizontal="center"/>
    </xf>
    <xf numFmtId="0" fontId="3" fillId="6" borderId="0" xfId="0" applyFont="1" applyFill="1" applyAlignment="1">
      <alignment horizontal="right"/>
    </xf>
    <xf numFmtId="4" fontId="0" fillId="6" borderId="6" xfId="0" applyNumberForma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1" fontId="6" fillId="6" borderId="0" xfId="0" applyNumberFormat="1" applyFont="1" applyFill="1" applyAlignment="1">
      <alignment horizontal="center"/>
    </xf>
    <xf numFmtId="3" fontId="0" fillId="6" borderId="6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1" fontId="7" fillId="6" borderId="0" xfId="0" applyNumberFormat="1" applyFont="1" applyFill="1" applyAlignment="1">
      <alignment horizontal="center"/>
    </xf>
    <xf numFmtId="0" fontId="14" fillId="6" borderId="0" xfId="0" applyFont="1" applyFill="1" applyAlignment="1">
      <alignment horizontal="right"/>
    </xf>
    <xf numFmtId="3" fontId="12" fillId="6" borderId="6" xfId="0" applyNumberFormat="1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9" fontId="10" fillId="3" borderId="0" xfId="2" applyFont="1" applyFill="1" applyAlignment="1">
      <alignment horizontal="right"/>
    </xf>
    <xf numFmtId="44" fontId="11" fillId="3" borderId="6" xfId="1" applyFont="1" applyFill="1" applyBorder="1" applyAlignment="1">
      <alignment horizontal="center"/>
    </xf>
    <xf numFmtId="44" fontId="10" fillId="3" borderId="5" xfId="0" applyNumberFormat="1" applyFont="1" applyFill="1" applyBorder="1"/>
    <xf numFmtId="0" fontId="10" fillId="3" borderId="0" xfId="0" applyFont="1" applyFill="1" applyAlignment="1">
      <alignment horizontal="left"/>
    </xf>
    <xf numFmtId="0" fontId="0" fillId="7" borderId="0" xfId="0" applyFill="1"/>
    <xf numFmtId="0" fontId="10" fillId="7" borderId="0" xfId="0" applyFont="1" applyFill="1" applyAlignment="1">
      <alignment horizontal="right"/>
    </xf>
    <xf numFmtId="0" fontId="11" fillId="7" borderId="0" xfId="0" applyFont="1" applyFill="1" applyAlignment="1">
      <alignment horizontal="center"/>
    </xf>
    <xf numFmtId="0" fontId="11" fillId="7" borderId="0" xfId="0" applyFont="1" applyFill="1"/>
    <xf numFmtId="0" fontId="11" fillId="7" borderId="0" xfId="0" applyFont="1" applyFill="1" applyAlignment="1">
      <alignment horizontal="right"/>
    </xf>
    <xf numFmtId="44" fontId="11" fillId="7" borderId="0" xfId="1" applyFont="1" applyFill="1"/>
    <xf numFmtId="0" fontId="10" fillId="7" borderId="0" xfId="0" applyFont="1" applyFill="1" applyAlignment="1">
      <alignment horizontal="center"/>
    </xf>
    <xf numFmtId="3" fontId="15" fillId="7" borderId="0" xfId="0" applyNumberFormat="1" applyFont="1" applyFill="1"/>
    <xf numFmtId="3" fontId="11" fillId="7" borderId="0" xfId="0" applyNumberFormat="1" applyFont="1" applyFill="1"/>
    <xf numFmtId="0" fontId="16" fillId="7" borderId="0" xfId="0" applyFont="1" applyFill="1"/>
    <xf numFmtId="0" fontId="10" fillId="7" borderId="7" xfId="0" applyFont="1" applyFill="1" applyBorder="1" applyAlignment="1">
      <alignment horizontal="center"/>
    </xf>
    <xf numFmtId="3" fontId="7" fillId="6" borderId="6" xfId="0" applyNumberFormat="1" applyFont="1" applyFill="1" applyBorder="1" applyAlignment="1">
      <alignment horizontal="center"/>
    </xf>
    <xf numFmtId="3" fontId="13" fillId="6" borderId="6" xfId="0" applyNumberFormat="1" applyFont="1" applyFill="1" applyBorder="1" applyAlignment="1">
      <alignment horizontal="center"/>
    </xf>
    <xf numFmtId="3" fontId="14" fillId="2" borderId="6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0" fillId="3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Fill="1"/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37" fontId="0" fillId="0" borderId="6" xfId="3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4" fontId="0" fillId="0" borderId="6" xfId="1" applyFont="1" applyFill="1" applyBorder="1" applyAlignment="1"/>
    <xf numFmtId="44" fontId="3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3" fontId="0" fillId="0" borderId="6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0" fontId="0" fillId="0" borderId="6" xfId="2" applyNumberFormat="1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9" fontId="3" fillId="0" borderId="0" xfId="2" applyFont="1" applyFill="1" applyAlignment="1">
      <alignment horizontal="right"/>
    </xf>
    <xf numFmtId="44" fontId="0" fillId="0" borderId="6" xfId="1" applyFont="1" applyFill="1" applyBorder="1" applyAlignment="1">
      <alignment horizontal="center"/>
    </xf>
    <xf numFmtId="44" fontId="3" fillId="0" borderId="5" xfId="1" applyFont="1" applyFill="1" applyBorder="1" applyAlignment="1">
      <alignment horizontal="center"/>
    </xf>
    <xf numFmtId="9" fontId="3" fillId="0" borderId="0" xfId="2" applyFont="1" applyFill="1"/>
    <xf numFmtId="0" fontId="11" fillId="0" borderId="0" xfId="0" applyFont="1" applyFill="1"/>
    <xf numFmtId="164" fontId="0" fillId="0" borderId="6" xfId="2" applyNumberFormat="1" applyFont="1" applyFill="1" applyBorder="1" applyAlignment="1">
      <alignment horizontal="center"/>
    </xf>
    <xf numFmtId="9" fontId="0" fillId="0" borderId="6" xfId="2" applyFont="1" applyFill="1" applyBorder="1" applyAlignment="1">
      <alignment horizontal="center"/>
    </xf>
    <xf numFmtId="0" fontId="3" fillId="0" borderId="0" xfId="0" applyFont="1" applyFill="1"/>
    <xf numFmtId="44" fontId="0" fillId="0" borderId="6" xfId="1" applyFont="1" applyFill="1" applyBorder="1"/>
    <xf numFmtId="3" fontId="15" fillId="0" borderId="0" xfId="0" applyNumberFormat="1" applyFont="1" applyFill="1"/>
    <xf numFmtId="3" fontId="11" fillId="0" borderId="0" xfId="0" applyNumberFormat="1" applyFont="1" applyFill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19" fillId="0" borderId="0" xfId="0" applyFont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4D490"/>
      <color rgb="FF071D4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</xdr:row>
      <xdr:rowOff>180975</xdr:rowOff>
    </xdr:from>
    <xdr:to>
      <xdr:col>18</xdr:col>
      <xdr:colOff>0</xdr:colOff>
      <xdr:row>5</xdr:row>
      <xdr:rowOff>0</xdr:rowOff>
    </xdr:to>
    <xdr:cxnSp macro="">
      <xdr:nvCxnSpPr>
        <xdr:cNvPr id="2" name="Straight Arrow Connector 1"/>
        <xdr:cNvCxnSpPr/>
      </xdr:nvCxnSpPr>
      <xdr:spPr>
        <a:xfrm>
          <a:off x="11353800" y="981075"/>
          <a:ext cx="1247775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419100</xdr:colOff>
      <xdr:row>5</xdr:row>
      <xdr:rowOff>9525</xdr:rowOff>
    </xdr:from>
    <xdr:to>
      <xdr:col>20</xdr:col>
      <xdr:colOff>762000</xdr:colOff>
      <xdr:row>5</xdr:row>
      <xdr:rowOff>38100</xdr:rowOff>
    </xdr:to>
    <xdr:cxnSp macro="">
      <xdr:nvCxnSpPr>
        <xdr:cNvPr id="3" name="Straight Arrow Connector 2"/>
        <xdr:cNvCxnSpPr>
          <a:stCxn id="24" idx="6"/>
          <a:endCxn id="25" idx="2"/>
        </xdr:cNvCxnSpPr>
      </xdr:nvCxnSpPr>
      <xdr:spPr>
        <a:xfrm>
          <a:off x="13439775" y="1000125"/>
          <a:ext cx="819150" cy="2857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5</xdr:row>
      <xdr:rowOff>0</xdr:rowOff>
    </xdr:from>
    <xdr:to>
      <xdr:col>18</xdr:col>
      <xdr:colOff>9525</xdr:colOff>
      <xdr:row>11</xdr:row>
      <xdr:rowOff>28575</xdr:rowOff>
    </xdr:to>
    <xdr:cxnSp macro="">
      <xdr:nvCxnSpPr>
        <xdr:cNvPr id="4" name="Straight Arrow Connector 3"/>
        <xdr:cNvCxnSpPr/>
      </xdr:nvCxnSpPr>
      <xdr:spPr>
        <a:xfrm flipV="1">
          <a:off x="11363325" y="990600"/>
          <a:ext cx="1247775" cy="13335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409575</xdr:colOff>
      <xdr:row>7</xdr:row>
      <xdr:rowOff>0</xdr:rowOff>
    </xdr:from>
    <xdr:to>
      <xdr:col>14</xdr:col>
      <xdr:colOff>409575</xdr:colOff>
      <xdr:row>9</xdr:row>
      <xdr:rowOff>0</xdr:rowOff>
    </xdr:to>
    <xdr:cxnSp macro="">
      <xdr:nvCxnSpPr>
        <xdr:cNvPr id="5" name="Straight Arrow Connector 4"/>
        <xdr:cNvCxnSpPr>
          <a:stCxn id="21" idx="4"/>
          <a:endCxn id="29" idx="0"/>
        </xdr:cNvCxnSpPr>
      </xdr:nvCxnSpPr>
      <xdr:spPr>
        <a:xfrm>
          <a:off x="10925175" y="1409700"/>
          <a:ext cx="0" cy="4572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6</xdr:row>
      <xdr:rowOff>219075</xdr:rowOff>
    </xdr:from>
    <xdr:to>
      <xdr:col>19</xdr:col>
      <xdr:colOff>28575</xdr:colOff>
      <xdr:row>10</xdr:row>
      <xdr:rowOff>0</xdr:rowOff>
    </xdr:to>
    <xdr:cxnSp macro="">
      <xdr:nvCxnSpPr>
        <xdr:cNvPr id="6" name="Straight Arrow Connector 5"/>
        <xdr:cNvCxnSpPr>
          <a:stCxn id="24" idx="4"/>
        </xdr:cNvCxnSpPr>
      </xdr:nvCxnSpPr>
      <xdr:spPr>
        <a:xfrm>
          <a:off x="13030200" y="1400175"/>
          <a:ext cx="19050" cy="66675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409575</xdr:colOff>
      <xdr:row>5</xdr:row>
      <xdr:rowOff>190500</xdr:rowOff>
    </xdr:from>
    <xdr:to>
      <xdr:col>21</xdr:col>
      <xdr:colOff>409575</xdr:colOff>
      <xdr:row>10</xdr:row>
      <xdr:rowOff>0</xdr:rowOff>
    </xdr:to>
    <xdr:cxnSp macro="">
      <xdr:nvCxnSpPr>
        <xdr:cNvPr id="7" name="Straight Arrow Connector 6"/>
        <xdr:cNvCxnSpPr/>
      </xdr:nvCxnSpPr>
      <xdr:spPr>
        <a:xfrm>
          <a:off x="14678025" y="1181100"/>
          <a:ext cx="0" cy="8858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9525</xdr:colOff>
      <xdr:row>15</xdr:row>
      <xdr:rowOff>0</xdr:rowOff>
    </xdr:to>
    <xdr:cxnSp macro="">
      <xdr:nvCxnSpPr>
        <xdr:cNvPr id="8" name="Straight Arrow Connector 7"/>
        <xdr:cNvCxnSpPr/>
      </xdr:nvCxnSpPr>
      <xdr:spPr>
        <a:xfrm flipH="1">
          <a:off x="10934700" y="2495550"/>
          <a:ext cx="9525" cy="5715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</xdr:row>
      <xdr:rowOff>180975</xdr:rowOff>
    </xdr:from>
    <xdr:to>
      <xdr:col>13</xdr:col>
      <xdr:colOff>600075</xdr:colOff>
      <xdr:row>5</xdr:row>
      <xdr:rowOff>0</xdr:rowOff>
    </xdr:to>
    <xdr:cxnSp macro="">
      <xdr:nvCxnSpPr>
        <xdr:cNvPr id="9" name="Straight Arrow Connector 8"/>
        <xdr:cNvCxnSpPr/>
      </xdr:nvCxnSpPr>
      <xdr:spPr>
        <a:xfrm flipV="1">
          <a:off x="9877425" y="981075"/>
          <a:ext cx="600075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409575</xdr:colOff>
      <xdr:row>5</xdr:row>
      <xdr:rowOff>190500</xdr:rowOff>
    </xdr:from>
    <xdr:to>
      <xdr:col>25</xdr:col>
      <xdr:colOff>409575</xdr:colOff>
      <xdr:row>10</xdr:row>
      <xdr:rowOff>0</xdr:rowOff>
    </xdr:to>
    <xdr:cxnSp macro="">
      <xdr:nvCxnSpPr>
        <xdr:cNvPr id="10" name="Straight Arrow Connector 9"/>
        <xdr:cNvCxnSpPr/>
      </xdr:nvCxnSpPr>
      <xdr:spPr>
        <a:xfrm>
          <a:off x="16735425" y="1181100"/>
          <a:ext cx="0" cy="8858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19050</xdr:colOff>
      <xdr:row>4</xdr:row>
      <xdr:rowOff>171450</xdr:rowOff>
    </xdr:from>
    <xdr:to>
      <xdr:col>28</xdr:col>
      <xdr:colOff>19050</xdr:colOff>
      <xdr:row>4</xdr:row>
      <xdr:rowOff>180975</xdr:rowOff>
    </xdr:to>
    <xdr:cxnSp macro="">
      <xdr:nvCxnSpPr>
        <xdr:cNvPr id="11" name="Straight Arrow Connector 10"/>
        <xdr:cNvCxnSpPr/>
      </xdr:nvCxnSpPr>
      <xdr:spPr>
        <a:xfrm>
          <a:off x="17183100" y="971550"/>
          <a:ext cx="609600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409575</xdr:colOff>
      <xdr:row>5</xdr:row>
      <xdr:rowOff>190500</xdr:rowOff>
    </xdr:from>
    <xdr:to>
      <xdr:col>28</xdr:col>
      <xdr:colOff>409575</xdr:colOff>
      <xdr:row>10</xdr:row>
      <xdr:rowOff>0</xdr:rowOff>
    </xdr:to>
    <xdr:cxnSp macro="">
      <xdr:nvCxnSpPr>
        <xdr:cNvPr id="12" name="Straight Arrow Connector 11"/>
        <xdr:cNvCxnSpPr/>
      </xdr:nvCxnSpPr>
      <xdr:spPr>
        <a:xfrm>
          <a:off x="18183225" y="1181100"/>
          <a:ext cx="0" cy="8858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9525</xdr:colOff>
      <xdr:row>15</xdr:row>
      <xdr:rowOff>0</xdr:rowOff>
    </xdr:to>
    <xdr:cxnSp macro="">
      <xdr:nvCxnSpPr>
        <xdr:cNvPr id="13" name="Straight Arrow Connector 12"/>
        <xdr:cNvCxnSpPr/>
      </xdr:nvCxnSpPr>
      <xdr:spPr>
        <a:xfrm flipH="1">
          <a:off x="14687550" y="2495550"/>
          <a:ext cx="9525" cy="5715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409575</xdr:colOff>
      <xdr:row>5</xdr:row>
      <xdr:rowOff>0</xdr:rowOff>
    </xdr:from>
    <xdr:to>
      <xdr:col>24</xdr:col>
      <xdr:colOff>600075</xdr:colOff>
      <xdr:row>5</xdr:row>
      <xdr:rowOff>9525</xdr:rowOff>
    </xdr:to>
    <xdr:cxnSp macro="">
      <xdr:nvCxnSpPr>
        <xdr:cNvPr id="14" name="Straight Arrow Connector 13"/>
        <xdr:cNvCxnSpPr/>
      </xdr:nvCxnSpPr>
      <xdr:spPr>
        <a:xfrm>
          <a:off x="15097125" y="990600"/>
          <a:ext cx="1219200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5</xdr:row>
      <xdr:rowOff>0</xdr:rowOff>
    </xdr:from>
    <xdr:to>
      <xdr:col>25</xdr:col>
      <xdr:colOff>9525</xdr:colOff>
      <xdr:row>11</xdr:row>
      <xdr:rowOff>28575</xdr:rowOff>
    </xdr:to>
    <xdr:cxnSp macro="">
      <xdr:nvCxnSpPr>
        <xdr:cNvPr id="15" name="Straight Arrow Connector 14"/>
        <xdr:cNvCxnSpPr/>
      </xdr:nvCxnSpPr>
      <xdr:spPr>
        <a:xfrm flipV="1">
          <a:off x="15116175" y="990600"/>
          <a:ext cx="1219200" cy="13335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409575</xdr:colOff>
      <xdr:row>5</xdr:row>
      <xdr:rowOff>190500</xdr:rowOff>
    </xdr:from>
    <xdr:to>
      <xdr:col>31</xdr:col>
      <xdr:colOff>409575</xdr:colOff>
      <xdr:row>10</xdr:row>
      <xdr:rowOff>0</xdr:rowOff>
    </xdr:to>
    <xdr:cxnSp macro="">
      <xdr:nvCxnSpPr>
        <xdr:cNvPr id="16" name="Straight Arrow Connector 15"/>
        <xdr:cNvCxnSpPr/>
      </xdr:nvCxnSpPr>
      <xdr:spPr>
        <a:xfrm>
          <a:off x="19678650" y="1181100"/>
          <a:ext cx="0" cy="8858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390525</xdr:colOff>
      <xdr:row>5</xdr:row>
      <xdr:rowOff>0</xdr:rowOff>
    </xdr:from>
    <xdr:to>
      <xdr:col>34</xdr:col>
      <xdr:colOff>19050</xdr:colOff>
      <xdr:row>5</xdr:row>
      <xdr:rowOff>19050</xdr:rowOff>
    </xdr:to>
    <xdr:cxnSp macro="">
      <xdr:nvCxnSpPr>
        <xdr:cNvPr id="17" name="Straight Arrow Connector 16"/>
        <xdr:cNvCxnSpPr>
          <a:stCxn id="28" idx="6"/>
          <a:endCxn id="27" idx="2"/>
        </xdr:cNvCxnSpPr>
      </xdr:nvCxnSpPr>
      <xdr:spPr>
        <a:xfrm flipV="1">
          <a:off x="20078700" y="990600"/>
          <a:ext cx="657225" cy="1905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409575</xdr:colOff>
      <xdr:row>5</xdr:row>
      <xdr:rowOff>190500</xdr:rowOff>
    </xdr:from>
    <xdr:to>
      <xdr:col>34</xdr:col>
      <xdr:colOff>409575</xdr:colOff>
      <xdr:row>10</xdr:row>
      <xdr:rowOff>0</xdr:rowOff>
    </xdr:to>
    <xdr:cxnSp macro="">
      <xdr:nvCxnSpPr>
        <xdr:cNvPr id="18" name="Straight Arrow Connector 17"/>
        <xdr:cNvCxnSpPr/>
      </xdr:nvCxnSpPr>
      <xdr:spPr>
        <a:xfrm>
          <a:off x="21126450" y="1181100"/>
          <a:ext cx="0" cy="8858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400050</xdr:colOff>
      <xdr:row>5</xdr:row>
      <xdr:rowOff>19050</xdr:rowOff>
    </xdr:from>
    <xdr:to>
      <xdr:col>31</xdr:col>
      <xdr:colOff>0</xdr:colOff>
      <xdr:row>5</xdr:row>
      <xdr:rowOff>28575</xdr:rowOff>
    </xdr:to>
    <xdr:cxnSp macro="">
      <xdr:nvCxnSpPr>
        <xdr:cNvPr id="19" name="Straight Arrow Connector 18"/>
        <xdr:cNvCxnSpPr>
          <a:stCxn id="26" idx="6"/>
        </xdr:cNvCxnSpPr>
      </xdr:nvCxnSpPr>
      <xdr:spPr>
        <a:xfrm flipV="1">
          <a:off x="18592800" y="1009650"/>
          <a:ext cx="676275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419100</xdr:colOff>
      <xdr:row>5</xdr:row>
      <xdr:rowOff>0</xdr:rowOff>
    </xdr:from>
    <xdr:to>
      <xdr:col>37</xdr:col>
      <xdr:colOff>85725</xdr:colOff>
      <xdr:row>5</xdr:row>
      <xdr:rowOff>0</xdr:rowOff>
    </xdr:to>
    <xdr:cxnSp macro="">
      <xdr:nvCxnSpPr>
        <xdr:cNvPr id="20" name="Straight Arrow Connector 19"/>
        <xdr:cNvCxnSpPr>
          <a:stCxn id="27" idx="6"/>
        </xdr:cNvCxnSpPr>
      </xdr:nvCxnSpPr>
      <xdr:spPr>
        <a:xfrm>
          <a:off x="21555075" y="990600"/>
          <a:ext cx="771525" cy="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400050</xdr:colOff>
      <xdr:row>7</xdr:row>
      <xdr:rowOff>0</xdr:rowOff>
    </xdr:to>
    <xdr:sp macro="" textlink="">
      <xdr:nvSpPr>
        <xdr:cNvPr id="21" name="Oval 20"/>
        <xdr:cNvSpPr/>
      </xdr:nvSpPr>
      <xdr:spPr>
        <a:xfrm>
          <a:off x="10515600" y="609600"/>
          <a:ext cx="819150" cy="800100"/>
        </a:xfrm>
        <a:prstGeom prst="ellipse">
          <a:avLst/>
        </a:prstGeom>
        <a:pattFill prst="ltDnDiag">
          <a:fgClr>
            <a:schemeClr val="accent3">
              <a:lumMod val="75000"/>
            </a:schemeClr>
          </a:fgClr>
          <a:bgClr>
            <a:schemeClr val="bg1"/>
          </a:bgClr>
        </a:patt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Metal Casting (MC)</a:t>
          </a:r>
        </a:p>
      </xdr:txBody>
    </xdr:sp>
    <xdr:clientData/>
  </xdr:twoCellAnchor>
  <xdr:twoCellAnchor>
    <xdr:from>
      <xdr:col>25</xdr:col>
      <xdr:colOff>9525</xdr:colOff>
      <xdr:row>3</xdr:row>
      <xdr:rowOff>9525</xdr:rowOff>
    </xdr:from>
    <xdr:to>
      <xdr:col>26</xdr:col>
      <xdr:colOff>409575</xdr:colOff>
      <xdr:row>7</xdr:row>
      <xdr:rowOff>9525</xdr:rowOff>
    </xdr:to>
    <xdr:sp macro="" textlink="">
      <xdr:nvSpPr>
        <xdr:cNvPr id="22" name="Oval 21"/>
        <xdr:cNvSpPr/>
      </xdr:nvSpPr>
      <xdr:spPr>
        <a:xfrm>
          <a:off x="16335375" y="619125"/>
          <a:ext cx="819150" cy="800100"/>
        </a:xfrm>
        <a:prstGeom prst="ellipse">
          <a:avLst/>
        </a:prstGeom>
        <a:pattFill prst="ltDnDiag">
          <a:fgClr>
            <a:srgbClr val="C00000"/>
          </a:fgClr>
          <a:bgClr>
            <a:schemeClr val="bg1"/>
          </a:bgClr>
        </a:patt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Base Paint  (BP)</a:t>
          </a:r>
        </a:p>
      </xdr:txBody>
    </xdr:sp>
    <xdr:clientData/>
  </xdr:twoCellAnchor>
  <xdr:twoCellAnchor>
    <xdr:from>
      <xdr:col>21</xdr:col>
      <xdr:colOff>9525</xdr:colOff>
      <xdr:row>10</xdr:row>
      <xdr:rowOff>0</xdr:rowOff>
    </xdr:from>
    <xdr:to>
      <xdr:col>23</xdr:col>
      <xdr:colOff>9525</xdr:colOff>
      <xdr:row>12</xdr:row>
      <xdr:rowOff>0</xdr:rowOff>
    </xdr:to>
    <xdr:sp macro="" textlink="">
      <xdr:nvSpPr>
        <xdr:cNvPr id="23" name="Rectangle 22"/>
        <xdr:cNvSpPr/>
      </xdr:nvSpPr>
      <xdr:spPr>
        <a:xfrm>
          <a:off x="14277975" y="2066925"/>
          <a:ext cx="838200" cy="428625"/>
        </a:xfrm>
        <a:prstGeom prst="rect">
          <a:avLst/>
        </a:prstGeom>
        <a:pattFill prst="ltDnDiag">
          <a:fgClr>
            <a:schemeClr val="tx2">
              <a:lumMod val="60000"/>
              <a:lumOff val="40000"/>
            </a:schemeClr>
          </a:fgClr>
          <a:bgClr>
            <a:schemeClr val="bg1"/>
          </a:bgClr>
        </a:patt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Found in Media (FM)</a:t>
          </a:r>
        </a:p>
      </xdr:txBody>
    </xdr:sp>
    <xdr:clientData/>
  </xdr:twoCellAnchor>
  <xdr:twoCellAnchor>
    <xdr:from>
      <xdr:col>18</xdr:col>
      <xdr:colOff>19050</xdr:colOff>
      <xdr:row>2</xdr:row>
      <xdr:rowOff>219075</xdr:rowOff>
    </xdr:from>
    <xdr:to>
      <xdr:col>19</xdr:col>
      <xdr:colOff>419100</xdr:colOff>
      <xdr:row>6</xdr:row>
      <xdr:rowOff>219075</xdr:rowOff>
    </xdr:to>
    <xdr:sp macro="" textlink="">
      <xdr:nvSpPr>
        <xdr:cNvPr id="24" name="Oval 23"/>
        <xdr:cNvSpPr/>
      </xdr:nvSpPr>
      <xdr:spPr>
        <a:xfrm>
          <a:off x="12620625" y="600075"/>
          <a:ext cx="819150" cy="800100"/>
        </a:xfrm>
        <a:prstGeom prst="ellipse">
          <a:avLst/>
        </a:prstGeom>
        <a:pattFill prst="ltDnDiag">
          <a:fgClr>
            <a:schemeClr val="accent3">
              <a:lumMod val="75000"/>
            </a:schemeClr>
          </a:fgClr>
          <a:bgClr>
            <a:schemeClr val="bg1"/>
          </a:bgClr>
        </a:patt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Trim Station (TS)</a:t>
          </a:r>
        </a:p>
      </xdr:txBody>
    </xdr:sp>
    <xdr:clientData/>
  </xdr:twoCellAnchor>
  <xdr:twoCellAnchor>
    <xdr:from>
      <xdr:col>20</xdr:col>
      <xdr:colOff>762000</xdr:colOff>
      <xdr:row>3</xdr:row>
      <xdr:rowOff>19050</xdr:rowOff>
    </xdr:from>
    <xdr:to>
      <xdr:col>22</xdr:col>
      <xdr:colOff>390525</xdr:colOff>
      <xdr:row>7</xdr:row>
      <xdr:rowOff>19050</xdr:rowOff>
    </xdr:to>
    <xdr:sp macro="" textlink="">
      <xdr:nvSpPr>
        <xdr:cNvPr id="25" name="Oval 24"/>
        <xdr:cNvSpPr/>
      </xdr:nvSpPr>
      <xdr:spPr>
        <a:xfrm>
          <a:off x="14258925" y="628650"/>
          <a:ext cx="819150" cy="800100"/>
        </a:xfrm>
        <a:prstGeom prst="ellipse">
          <a:avLst/>
        </a:prstGeom>
        <a:pattFill prst="ltDnDiag">
          <a:fgClr>
            <a:schemeClr val="accent3">
              <a:lumMod val="75000"/>
            </a:schemeClr>
          </a:fgClr>
          <a:bgClr>
            <a:schemeClr val="bg1"/>
          </a:bgClr>
        </a:patt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Degrease/ Deburr</a:t>
          </a:r>
        </a:p>
        <a:p>
          <a:pPr algn="ctr"/>
          <a:r>
            <a:rPr lang="en-US" sz="1100" b="1">
              <a:solidFill>
                <a:schemeClr val="tx1"/>
              </a:solidFill>
            </a:rPr>
            <a:t>(DD)</a:t>
          </a:r>
        </a:p>
      </xdr:txBody>
    </xdr:sp>
    <xdr:clientData/>
  </xdr:twoCellAnchor>
  <xdr:twoCellAnchor>
    <xdr:from>
      <xdr:col>28</xdr:col>
      <xdr:colOff>0</xdr:colOff>
      <xdr:row>3</xdr:row>
      <xdr:rowOff>9525</xdr:rowOff>
    </xdr:from>
    <xdr:to>
      <xdr:col>29</xdr:col>
      <xdr:colOff>400050</xdr:colOff>
      <xdr:row>7</xdr:row>
      <xdr:rowOff>9525</xdr:rowOff>
    </xdr:to>
    <xdr:sp macro="" textlink="">
      <xdr:nvSpPr>
        <xdr:cNvPr id="26" name="Oval 25"/>
        <xdr:cNvSpPr/>
      </xdr:nvSpPr>
      <xdr:spPr>
        <a:xfrm>
          <a:off x="17773650" y="619125"/>
          <a:ext cx="819150" cy="800100"/>
        </a:xfrm>
        <a:prstGeom prst="ellipse">
          <a:avLst/>
        </a:prstGeom>
        <a:pattFill prst="ltDnDiag">
          <a:fgClr>
            <a:schemeClr val="accent3">
              <a:lumMod val="75000"/>
            </a:schemeClr>
          </a:fgClr>
          <a:bgClr>
            <a:schemeClr val="bg1"/>
          </a:bgClr>
        </a:patt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Drying Oven (DO)</a:t>
          </a:r>
        </a:p>
      </xdr:txBody>
    </xdr:sp>
    <xdr:clientData/>
  </xdr:twoCellAnchor>
  <xdr:twoCellAnchor>
    <xdr:from>
      <xdr:col>34</xdr:col>
      <xdr:colOff>19050</xdr:colOff>
      <xdr:row>2</xdr:row>
      <xdr:rowOff>209550</xdr:rowOff>
    </xdr:from>
    <xdr:to>
      <xdr:col>35</xdr:col>
      <xdr:colOff>419100</xdr:colOff>
      <xdr:row>6</xdr:row>
      <xdr:rowOff>209550</xdr:rowOff>
    </xdr:to>
    <xdr:sp macro="" textlink="">
      <xdr:nvSpPr>
        <xdr:cNvPr id="27" name="Oval 26"/>
        <xdr:cNvSpPr/>
      </xdr:nvSpPr>
      <xdr:spPr>
        <a:xfrm>
          <a:off x="20735925" y="590550"/>
          <a:ext cx="819150" cy="800100"/>
        </a:xfrm>
        <a:prstGeom prst="ellipse">
          <a:avLst/>
        </a:prstGeom>
        <a:pattFill prst="ltDnDiag">
          <a:fgClr>
            <a:schemeClr val="accent3">
              <a:lumMod val="75000"/>
            </a:schemeClr>
          </a:fgClr>
          <a:bgClr>
            <a:schemeClr val="bg1"/>
          </a:bgClr>
        </a:patt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Drying Oven (DO)</a:t>
          </a:r>
        </a:p>
      </xdr:txBody>
    </xdr:sp>
    <xdr:clientData/>
  </xdr:twoCellAnchor>
  <xdr:twoCellAnchor>
    <xdr:from>
      <xdr:col>30</xdr:col>
      <xdr:colOff>600075</xdr:colOff>
      <xdr:row>3</xdr:row>
      <xdr:rowOff>0</xdr:rowOff>
    </xdr:from>
    <xdr:to>
      <xdr:col>32</xdr:col>
      <xdr:colOff>390525</xdr:colOff>
      <xdr:row>7</xdr:row>
      <xdr:rowOff>0</xdr:rowOff>
    </xdr:to>
    <xdr:sp macro="" textlink="">
      <xdr:nvSpPr>
        <xdr:cNvPr id="28" name="Oval 27"/>
        <xdr:cNvSpPr/>
      </xdr:nvSpPr>
      <xdr:spPr>
        <a:xfrm>
          <a:off x="19259550" y="609600"/>
          <a:ext cx="819150" cy="800100"/>
        </a:xfrm>
        <a:prstGeom prst="ellipse">
          <a:avLst/>
        </a:prstGeom>
        <a:pattFill prst="ltDnDiag">
          <a:fgClr>
            <a:srgbClr val="C00000"/>
          </a:fgClr>
          <a:bgClr>
            <a:schemeClr val="bg1"/>
          </a:bgClr>
        </a:patt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Mask Paint  (MP)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400050</xdr:colOff>
      <xdr:row>13</xdr:row>
      <xdr:rowOff>0</xdr:rowOff>
    </xdr:to>
    <xdr:sp macro="" textlink="">
      <xdr:nvSpPr>
        <xdr:cNvPr id="29" name="Oval 28"/>
        <xdr:cNvSpPr/>
      </xdr:nvSpPr>
      <xdr:spPr>
        <a:xfrm>
          <a:off x="10515600" y="1866900"/>
          <a:ext cx="819150" cy="819150"/>
        </a:xfrm>
        <a:prstGeom prst="ellipse">
          <a:avLst/>
        </a:prstGeom>
        <a:pattFill prst="ltDnDiag">
          <a:fgClr>
            <a:schemeClr val="accent3">
              <a:lumMod val="75000"/>
            </a:schemeClr>
          </a:fgClr>
          <a:bgClr>
            <a:schemeClr val="bg1"/>
          </a:bgClr>
        </a:patt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Re-Cast (RC)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</xdr:row>
      <xdr:rowOff>180975</xdr:rowOff>
    </xdr:from>
    <xdr:to>
      <xdr:col>18</xdr:col>
      <xdr:colOff>0</xdr:colOff>
      <xdr:row>5</xdr:row>
      <xdr:rowOff>0</xdr:rowOff>
    </xdr:to>
    <xdr:cxnSp macro="">
      <xdr:nvCxnSpPr>
        <xdr:cNvPr id="3" name="Straight Arrow Connector 2"/>
        <xdr:cNvCxnSpPr/>
      </xdr:nvCxnSpPr>
      <xdr:spPr>
        <a:xfrm>
          <a:off x="7019925" y="800100"/>
          <a:ext cx="1219200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419100</xdr:colOff>
      <xdr:row>5</xdr:row>
      <xdr:rowOff>9525</xdr:rowOff>
    </xdr:from>
    <xdr:to>
      <xdr:col>20</xdr:col>
      <xdr:colOff>762000</xdr:colOff>
      <xdr:row>5</xdr:row>
      <xdr:rowOff>38100</xdr:rowOff>
    </xdr:to>
    <xdr:cxnSp macro="">
      <xdr:nvCxnSpPr>
        <xdr:cNvPr id="4" name="Straight Arrow Connector 3"/>
        <xdr:cNvCxnSpPr>
          <a:stCxn id="30" idx="6"/>
          <a:endCxn id="31" idx="2"/>
        </xdr:cNvCxnSpPr>
      </xdr:nvCxnSpPr>
      <xdr:spPr>
        <a:xfrm>
          <a:off x="13439775" y="1000125"/>
          <a:ext cx="819150" cy="2857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9525</xdr:colOff>
      <xdr:row>5</xdr:row>
      <xdr:rowOff>0</xdr:rowOff>
    </xdr:from>
    <xdr:to>
      <xdr:col>18</xdr:col>
      <xdr:colOff>9525</xdr:colOff>
      <xdr:row>11</xdr:row>
      <xdr:rowOff>28575</xdr:rowOff>
    </xdr:to>
    <xdr:cxnSp macro="">
      <xdr:nvCxnSpPr>
        <xdr:cNvPr id="5" name="Straight Arrow Connector 4"/>
        <xdr:cNvCxnSpPr/>
      </xdr:nvCxnSpPr>
      <xdr:spPr>
        <a:xfrm flipV="1">
          <a:off x="7029450" y="809625"/>
          <a:ext cx="1219200" cy="11144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409575</xdr:colOff>
      <xdr:row>7</xdr:row>
      <xdr:rowOff>0</xdr:rowOff>
    </xdr:from>
    <xdr:to>
      <xdr:col>14</xdr:col>
      <xdr:colOff>409575</xdr:colOff>
      <xdr:row>9</xdr:row>
      <xdr:rowOff>0</xdr:rowOff>
    </xdr:to>
    <xdr:cxnSp macro="">
      <xdr:nvCxnSpPr>
        <xdr:cNvPr id="8" name="Straight Arrow Connector 7"/>
        <xdr:cNvCxnSpPr>
          <a:stCxn id="2" idx="4"/>
          <a:endCxn id="35" idx="0"/>
        </xdr:cNvCxnSpPr>
      </xdr:nvCxnSpPr>
      <xdr:spPr>
        <a:xfrm>
          <a:off x="10925175" y="1428750"/>
          <a:ext cx="0" cy="4572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</xdr:colOff>
      <xdr:row>6</xdr:row>
      <xdr:rowOff>219075</xdr:rowOff>
    </xdr:from>
    <xdr:to>
      <xdr:col>19</xdr:col>
      <xdr:colOff>28575</xdr:colOff>
      <xdr:row>10</xdr:row>
      <xdr:rowOff>0</xdr:rowOff>
    </xdr:to>
    <xdr:cxnSp macro="">
      <xdr:nvCxnSpPr>
        <xdr:cNvPr id="11" name="Straight Arrow Connector 10"/>
        <xdr:cNvCxnSpPr>
          <a:stCxn id="30" idx="4"/>
        </xdr:cNvCxnSpPr>
      </xdr:nvCxnSpPr>
      <xdr:spPr>
        <a:xfrm>
          <a:off x="13030200" y="1400175"/>
          <a:ext cx="19050" cy="66675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409575</xdr:colOff>
      <xdr:row>5</xdr:row>
      <xdr:rowOff>190500</xdr:rowOff>
    </xdr:from>
    <xdr:to>
      <xdr:col>21</xdr:col>
      <xdr:colOff>409575</xdr:colOff>
      <xdr:row>10</xdr:row>
      <xdr:rowOff>0</xdr:rowOff>
    </xdr:to>
    <xdr:cxnSp macro="">
      <xdr:nvCxnSpPr>
        <xdr:cNvPr id="12" name="Straight Arrow Connector 11"/>
        <xdr:cNvCxnSpPr/>
      </xdr:nvCxnSpPr>
      <xdr:spPr>
        <a:xfrm>
          <a:off x="10163175" y="1000125"/>
          <a:ext cx="0" cy="85725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9525</xdr:colOff>
      <xdr:row>15</xdr:row>
      <xdr:rowOff>0</xdr:rowOff>
    </xdr:to>
    <xdr:cxnSp macro="">
      <xdr:nvCxnSpPr>
        <xdr:cNvPr id="13" name="Straight Arrow Connector 12"/>
        <xdr:cNvCxnSpPr/>
      </xdr:nvCxnSpPr>
      <xdr:spPr>
        <a:xfrm flipH="1">
          <a:off x="6667500" y="2324100"/>
          <a:ext cx="9525" cy="5715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4</xdr:row>
      <xdr:rowOff>180975</xdr:rowOff>
    </xdr:from>
    <xdr:to>
      <xdr:col>13</xdr:col>
      <xdr:colOff>600075</xdr:colOff>
      <xdr:row>5</xdr:row>
      <xdr:rowOff>0</xdr:rowOff>
    </xdr:to>
    <xdr:cxnSp macro="">
      <xdr:nvCxnSpPr>
        <xdr:cNvPr id="14" name="Straight Arrow Connector 13"/>
        <xdr:cNvCxnSpPr/>
      </xdr:nvCxnSpPr>
      <xdr:spPr>
        <a:xfrm flipV="1">
          <a:off x="5648325" y="800100"/>
          <a:ext cx="600075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409575</xdr:colOff>
      <xdr:row>5</xdr:row>
      <xdr:rowOff>190500</xdr:rowOff>
    </xdr:from>
    <xdr:to>
      <xdr:col>25</xdr:col>
      <xdr:colOff>409575</xdr:colOff>
      <xdr:row>10</xdr:row>
      <xdr:rowOff>0</xdr:rowOff>
    </xdr:to>
    <xdr:cxnSp macro="">
      <xdr:nvCxnSpPr>
        <xdr:cNvPr id="17" name="Straight Arrow Connector 16"/>
        <xdr:cNvCxnSpPr/>
      </xdr:nvCxnSpPr>
      <xdr:spPr>
        <a:xfrm>
          <a:off x="12296775" y="1190625"/>
          <a:ext cx="0" cy="89535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19050</xdr:colOff>
      <xdr:row>4</xdr:row>
      <xdr:rowOff>171450</xdr:rowOff>
    </xdr:from>
    <xdr:to>
      <xdr:col>28</xdr:col>
      <xdr:colOff>19050</xdr:colOff>
      <xdr:row>4</xdr:row>
      <xdr:rowOff>180975</xdr:rowOff>
    </xdr:to>
    <xdr:cxnSp macro="">
      <xdr:nvCxnSpPr>
        <xdr:cNvPr id="18" name="Straight Arrow Connector 17"/>
        <xdr:cNvCxnSpPr/>
      </xdr:nvCxnSpPr>
      <xdr:spPr>
        <a:xfrm>
          <a:off x="11296650" y="981075"/>
          <a:ext cx="609600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409575</xdr:colOff>
      <xdr:row>5</xdr:row>
      <xdr:rowOff>190500</xdr:rowOff>
    </xdr:from>
    <xdr:to>
      <xdr:col>28</xdr:col>
      <xdr:colOff>409575</xdr:colOff>
      <xdr:row>10</xdr:row>
      <xdr:rowOff>0</xdr:rowOff>
    </xdr:to>
    <xdr:cxnSp macro="">
      <xdr:nvCxnSpPr>
        <xdr:cNvPr id="19" name="Straight Arrow Connector 18"/>
        <xdr:cNvCxnSpPr/>
      </xdr:nvCxnSpPr>
      <xdr:spPr>
        <a:xfrm>
          <a:off x="12296775" y="1190625"/>
          <a:ext cx="0" cy="89535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12</xdr:row>
      <xdr:rowOff>0</xdr:rowOff>
    </xdr:from>
    <xdr:to>
      <xdr:col>22</xdr:col>
      <xdr:colOff>9525</xdr:colOff>
      <xdr:row>15</xdr:row>
      <xdr:rowOff>0</xdr:rowOff>
    </xdr:to>
    <xdr:cxnSp macro="">
      <xdr:nvCxnSpPr>
        <xdr:cNvPr id="21" name="Straight Arrow Connector 20"/>
        <xdr:cNvCxnSpPr/>
      </xdr:nvCxnSpPr>
      <xdr:spPr>
        <a:xfrm flipH="1">
          <a:off x="8801100" y="2514600"/>
          <a:ext cx="9525" cy="5715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409575</xdr:colOff>
      <xdr:row>5</xdr:row>
      <xdr:rowOff>0</xdr:rowOff>
    </xdr:from>
    <xdr:to>
      <xdr:col>24</xdr:col>
      <xdr:colOff>600075</xdr:colOff>
      <xdr:row>5</xdr:row>
      <xdr:rowOff>9525</xdr:rowOff>
    </xdr:to>
    <xdr:cxnSp macro="">
      <xdr:nvCxnSpPr>
        <xdr:cNvPr id="22" name="Straight Arrow Connector 21"/>
        <xdr:cNvCxnSpPr/>
      </xdr:nvCxnSpPr>
      <xdr:spPr>
        <a:xfrm>
          <a:off x="12715875" y="1000125"/>
          <a:ext cx="1028700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5</xdr:row>
      <xdr:rowOff>0</xdr:rowOff>
    </xdr:from>
    <xdr:to>
      <xdr:col>25</xdr:col>
      <xdr:colOff>9525</xdr:colOff>
      <xdr:row>11</xdr:row>
      <xdr:rowOff>28575</xdr:rowOff>
    </xdr:to>
    <xdr:cxnSp macro="">
      <xdr:nvCxnSpPr>
        <xdr:cNvPr id="23" name="Straight Arrow Connector 22"/>
        <xdr:cNvCxnSpPr/>
      </xdr:nvCxnSpPr>
      <xdr:spPr>
        <a:xfrm flipV="1">
          <a:off x="9229725" y="1000125"/>
          <a:ext cx="1219200" cy="13430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409575</xdr:colOff>
      <xdr:row>5</xdr:row>
      <xdr:rowOff>190500</xdr:rowOff>
    </xdr:from>
    <xdr:to>
      <xdr:col>31</xdr:col>
      <xdr:colOff>409575</xdr:colOff>
      <xdr:row>10</xdr:row>
      <xdr:rowOff>0</xdr:rowOff>
    </xdr:to>
    <xdr:cxnSp macro="">
      <xdr:nvCxnSpPr>
        <xdr:cNvPr id="24" name="Straight Arrow Connector 23"/>
        <xdr:cNvCxnSpPr/>
      </xdr:nvCxnSpPr>
      <xdr:spPr>
        <a:xfrm>
          <a:off x="14163675" y="1190625"/>
          <a:ext cx="0" cy="89535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390525</xdr:colOff>
      <xdr:row>5</xdr:row>
      <xdr:rowOff>0</xdr:rowOff>
    </xdr:from>
    <xdr:to>
      <xdr:col>34</xdr:col>
      <xdr:colOff>19050</xdr:colOff>
      <xdr:row>5</xdr:row>
      <xdr:rowOff>19050</xdr:rowOff>
    </xdr:to>
    <xdr:cxnSp macro="">
      <xdr:nvCxnSpPr>
        <xdr:cNvPr id="25" name="Straight Arrow Connector 24"/>
        <xdr:cNvCxnSpPr>
          <a:stCxn id="34" idx="6"/>
          <a:endCxn id="33" idx="2"/>
        </xdr:cNvCxnSpPr>
      </xdr:nvCxnSpPr>
      <xdr:spPr>
        <a:xfrm flipV="1">
          <a:off x="20078700" y="990600"/>
          <a:ext cx="657225" cy="1905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409575</xdr:colOff>
      <xdr:row>5</xdr:row>
      <xdr:rowOff>190500</xdr:rowOff>
    </xdr:from>
    <xdr:to>
      <xdr:col>34</xdr:col>
      <xdr:colOff>409575</xdr:colOff>
      <xdr:row>10</xdr:row>
      <xdr:rowOff>0</xdr:rowOff>
    </xdr:to>
    <xdr:cxnSp macro="">
      <xdr:nvCxnSpPr>
        <xdr:cNvPr id="26" name="Straight Arrow Connector 25"/>
        <xdr:cNvCxnSpPr/>
      </xdr:nvCxnSpPr>
      <xdr:spPr>
        <a:xfrm>
          <a:off x="15611475" y="1190625"/>
          <a:ext cx="0" cy="89535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400050</xdr:colOff>
      <xdr:row>5</xdr:row>
      <xdr:rowOff>19050</xdr:rowOff>
    </xdr:from>
    <xdr:to>
      <xdr:col>31</xdr:col>
      <xdr:colOff>0</xdr:colOff>
      <xdr:row>5</xdr:row>
      <xdr:rowOff>28575</xdr:rowOff>
    </xdr:to>
    <xdr:cxnSp macro="">
      <xdr:nvCxnSpPr>
        <xdr:cNvPr id="27" name="Straight Arrow Connector 26"/>
        <xdr:cNvCxnSpPr>
          <a:stCxn id="32" idx="6"/>
        </xdr:cNvCxnSpPr>
      </xdr:nvCxnSpPr>
      <xdr:spPr>
        <a:xfrm flipV="1">
          <a:off x="18592800" y="1009650"/>
          <a:ext cx="676275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419100</xdr:colOff>
      <xdr:row>5</xdr:row>
      <xdr:rowOff>0</xdr:rowOff>
    </xdr:from>
    <xdr:to>
      <xdr:col>37</xdr:col>
      <xdr:colOff>85725</xdr:colOff>
      <xdr:row>5</xdr:row>
      <xdr:rowOff>0</xdr:rowOff>
    </xdr:to>
    <xdr:cxnSp macro="">
      <xdr:nvCxnSpPr>
        <xdr:cNvPr id="28" name="Straight Arrow Connector 27"/>
        <xdr:cNvCxnSpPr>
          <a:stCxn id="33" idx="6"/>
        </xdr:cNvCxnSpPr>
      </xdr:nvCxnSpPr>
      <xdr:spPr>
        <a:xfrm>
          <a:off x="21555075" y="990600"/>
          <a:ext cx="771525" cy="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</xdr:row>
      <xdr:rowOff>0</xdr:rowOff>
    </xdr:from>
    <xdr:to>
      <xdr:col>15</xdr:col>
      <xdr:colOff>400050</xdr:colOff>
      <xdr:row>7</xdr:row>
      <xdr:rowOff>0</xdr:rowOff>
    </xdr:to>
    <xdr:sp macro="" textlink="">
      <xdr:nvSpPr>
        <xdr:cNvPr id="2" name="Oval 1"/>
        <xdr:cNvSpPr/>
      </xdr:nvSpPr>
      <xdr:spPr>
        <a:xfrm>
          <a:off x="10515600" y="609600"/>
          <a:ext cx="819150" cy="819150"/>
        </a:xfrm>
        <a:prstGeom prst="ellipse">
          <a:avLst/>
        </a:prstGeom>
        <a:pattFill prst="ltDnDiag">
          <a:fgClr>
            <a:schemeClr val="accent3">
              <a:lumMod val="75000"/>
            </a:schemeClr>
          </a:fgClr>
          <a:bgClr>
            <a:schemeClr val="bg1"/>
          </a:bgClr>
        </a:patt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Metal Casting (MC)</a:t>
          </a:r>
        </a:p>
      </xdr:txBody>
    </xdr:sp>
    <xdr:clientData/>
  </xdr:twoCellAnchor>
  <xdr:twoCellAnchor>
    <xdr:from>
      <xdr:col>25</xdr:col>
      <xdr:colOff>9525</xdr:colOff>
      <xdr:row>3</xdr:row>
      <xdr:rowOff>9525</xdr:rowOff>
    </xdr:from>
    <xdr:to>
      <xdr:col>26</xdr:col>
      <xdr:colOff>409575</xdr:colOff>
      <xdr:row>7</xdr:row>
      <xdr:rowOff>9525</xdr:rowOff>
    </xdr:to>
    <xdr:sp macro="" textlink="">
      <xdr:nvSpPr>
        <xdr:cNvPr id="29" name="Oval 28"/>
        <xdr:cNvSpPr/>
      </xdr:nvSpPr>
      <xdr:spPr>
        <a:xfrm>
          <a:off x="16335375" y="619125"/>
          <a:ext cx="819150" cy="819150"/>
        </a:xfrm>
        <a:prstGeom prst="ellipse">
          <a:avLst/>
        </a:prstGeom>
        <a:pattFill prst="ltDnDiag">
          <a:fgClr>
            <a:srgbClr val="C00000"/>
          </a:fgClr>
          <a:bgClr>
            <a:schemeClr val="bg1"/>
          </a:bgClr>
        </a:patt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Base Paint  (BP)</a:t>
          </a:r>
        </a:p>
      </xdr:txBody>
    </xdr:sp>
    <xdr:clientData/>
  </xdr:twoCellAnchor>
  <xdr:twoCellAnchor>
    <xdr:from>
      <xdr:col>21</xdr:col>
      <xdr:colOff>9525</xdr:colOff>
      <xdr:row>10</xdr:row>
      <xdr:rowOff>0</xdr:rowOff>
    </xdr:from>
    <xdr:to>
      <xdr:col>23</xdr:col>
      <xdr:colOff>9525</xdr:colOff>
      <xdr:row>12</xdr:row>
      <xdr:rowOff>0</xdr:rowOff>
    </xdr:to>
    <xdr:sp macro="" textlink="">
      <xdr:nvSpPr>
        <xdr:cNvPr id="6" name="Rectangle 5"/>
        <xdr:cNvSpPr/>
      </xdr:nvSpPr>
      <xdr:spPr>
        <a:xfrm>
          <a:off x="14277975" y="2085975"/>
          <a:ext cx="838200" cy="428625"/>
        </a:xfrm>
        <a:prstGeom prst="rect">
          <a:avLst/>
        </a:prstGeom>
        <a:pattFill prst="ltDnDiag">
          <a:fgClr>
            <a:schemeClr val="tx2">
              <a:lumMod val="60000"/>
              <a:lumOff val="40000"/>
            </a:schemeClr>
          </a:fgClr>
          <a:bgClr>
            <a:schemeClr val="bg1"/>
          </a:bgClr>
        </a:patt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Found in Media (FM)</a:t>
          </a:r>
        </a:p>
      </xdr:txBody>
    </xdr:sp>
    <xdr:clientData/>
  </xdr:twoCellAnchor>
  <xdr:twoCellAnchor>
    <xdr:from>
      <xdr:col>18</xdr:col>
      <xdr:colOff>19050</xdr:colOff>
      <xdr:row>2</xdr:row>
      <xdr:rowOff>219075</xdr:rowOff>
    </xdr:from>
    <xdr:to>
      <xdr:col>19</xdr:col>
      <xdr:colOff>419100</xdr:colOff>
      <xdr:row>6</xdr:row>
      <xdr:rowOff>219075</xdr:rowOff>
    </xdr:to>
    <xdr:sp macro="" textlink="">
      <xdr:nvSpPr>
        <xdr:cNvPr id="30" name="Oval 29"/>
        <xdr:cNvSpPr/>
      </xdr:nvSpPr>
      <xdr:spPr>
        <a:xfrm>
          <a:off x="12620625" y="600075"/>
          <a:ext cx="819150" cy="819150"/>
        </a:xfrm>
        <a:prstGeom prst="ellipse">
          <a:avLst/>
        </a:prstGeom>
        <a:pattFill prst="ltDnDiag">
          <a:fgClr>
            <a:schemeClr val="accent3">
              <a:lumMod val="75000"/>
            </a:schemeClr>
          </a:fgClr>
          <a:bgClr>
            <a:schemeClr val="bg1"/>
          </a:bgClr>
        </a:patt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Trim Station (TS)</a:t>
          </a:r>
        </a:p>
      </xdr:txBody>
    </xdr:sp>
    <xdr:clientData/>
  </xdr:twoCellAnchor>
  <xdr:twoCellAnchor>
    <xdr:from>
      <xdr:col>20</xdr:col>
      <xdr:colOff>762000</xdr:colOff>
      <xdr:row>3</xdr:row>
      <xdr:rowOff>19050</xdr:rowOff>
    </xdr:from>
    <xdr:to>
      <xdr:col>22</xdr:col>
      <xdr:colOff>390525</xdr:colOff>
      <xdr:row>7</xdr:row>
      <xdr:rowOff>19050</xdr:rowOff>
    </xdr:to>
    <xdr:sp macro="" textlink="">
      <xdr:nvSpPr>
        <xdr:cNvPr id="31" name="Oval 30"/>
        <xdr:cNvSpPr/>
      </xdr:nvSpPr>
      <xdr:spPr>
        <a:xfrm>
          <a:off x="14258925" y="628650"/>
          <a:ext cx="819150" cy="819150"/>
        </a:xfrm>
        <a:prstGeom prst="ellipse">
          <a:avLst/>
        </a:prstGeom>
        <a:pattFill prst="ltDnDiag">
          <a:fgClr>
            <a:schemeClr val="accent3">
              <a:lumMod val="75000"/>
            </a:schemeClr>
          </a:fgClr>
          <a:bgClr>
            <a:schemeClr val="bg1"/>
          </a:bgClr>
        </a:patt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Degrease/ Deburr</a:t>
          </a:r>
        </a:p>
        <a:p>
          <a:pPr algn="ctr"/>
          <a:r>
            <a:rPr lang="en-US" sz="1100" b="1">
              <a:solidFill>
                <a:schemeClr val="tx1"/>
              </a:solidFill>
            </a:rPr>
            <a:t>(DD)</a:t>
          </a:r>
        </a:p>
      </xdr:txBody>
    </xdr:sp>
    <xdr:clientData/>
  </xdr:twoCellAnchor>
  <xdr:twoCellAnchor>
    <xdr:from>
      <xdr:col>28</xdr:col>
      <xdr:colOff>0</xdr:colOff>
      <xdr:row>3</xdr:row>
      <xdr:rowOff>9525</xdr:rowOff>
    </xdr:from>
    <xdr:to>
      <xdr:col>29</xdr:col>
      <xdr:colOff>400050</xdr:colOff>
      <xdr:row>7</xdr:row>
      <xdr:rowOff>9525</xdr:rowOff>
    </xdr:to>
    <xdr:sp macro="" textlink="">
      <xdr:nvSpPr>
        <xdr:cNvPr id="32" name="Oval 31"/>
        <xdr:cNvSpPr/>
      </xdr:nvSpPr>
      <xdr:spPr>
        <a:xfrm>
          <a:off x="17773650" y="619125"/>
          <a:ext cx="819150" cy="819150"/>
        </a:xfrm>
        <a:prstGeom prst="ellipse">
          <a:avLst/>
        </a:prstGeom>
        <a:pattFill prst="ltDnDiag">
          <a:fgClr>
            <a:schemeClr val="accent3">
              <a:lumMod val="75000"/>
            </a:schemeClr>
          </a:fgClr>
          <a:bgClr>
            <a:schemeClr val="bg1"/>
          </a:bgClr>
        </a:patt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Drying Oven (DO)</a:t>
          </a:r>
        </a:p>
      </xdr:txBody>
    </xdr:sp>
    <xdr:clientData/>
  </xdr:twoCellAnchor>
  <xdr:twoCellAnchor>
    <xdr:from>
      <xdr:col>34</xdr:col>
      <xdr:colOff>19050</xdr:colOff>
      <xdr:row>2</xdr:row>
      <xdr:rowOff>209550</xdr:rowOff>
    </xdr:from>
    <xdr:to>
      <xdr:col>35</xdr:col>
      <xdr:colOff>419100</xdr:colOff>
      <xdr:row>6</xdr:row>
      <xdr:rowOff>209550</xdr:rowOff>
    </xdr:to>
    <xdr:sp macro="" textlink="">
      <xdr:nvSpPr>
        <xdr:cNvPr id="33" name="Oval 32"/>
        <xdr:cNvSpPr/>
      </xdr:nvSpPr>
      <xdr:spPr>
        <a:xfrm>
          <a:off x="20735925" y="590550"/>
          <a:ext cx="819150" cy="819150"/>
        </a:xfrm>
        <a:prstGeom prst="ellipse">
          <a:avLst/>
        </a:prstGeom>
        <a:pattFill prst="ltDnDiag">
          <a:fgClr>
            <a:schemeClr val="accent3">
              <a:lumMod val="75000"/>
            </a:schemeClr>
          </a:fgClr>
          <a:bgClr>
            <a:schemeClr val="bg1"/>
          </a:bgClr>
        </a:patt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Drying Oven (DO)</a:t>
          </a:r>
        </a:p>
      </xdr:txBody>
    </xdr:sp>
    <xdr:clientData/>
  </xdr:twoCellAnchor>
  <xdr:twoCellAnchor>
    <xdr:from>
      <xdr:col>30</xdr:col>
      <xdr:colOff>600075</xdr:colOff>
      <xdr:row>3</xdr:row>
      <xdr:rowOff>0</xdr:rowOff>
    </xdr:from>
    <xdr:to>
      <xdr:col>32</xdr:col>
      <xdr:colOff>390525</xdr:colOff>
      <xdr:row>7</xdr:row>
      <xdr:rowOff>0</xdr:rowOff>
    </xdr:to>
    <xdr:sp macro="" textlink="">
      <xdr:nvSpPr>
        <xdr:cNvPr id="34" name="Oval 33"/>
        <xdr:cNvSpPr/>
      </xdr:nvSpPr>
      <xdr:spPr>
        <a:xfrm>
          <a:off x="19259550" y="609600"/>
          <a:ext cx="819150" cy="819150"/>
        </a:xfrm>
        <a:prstGeom prst="ellipse">
          <a:avLst/>
        </a:prstGeom>
        <a:pattFill prst="ltDnDiag">
          <a:fgClr>
            <a:srgbClr val="C00000"/>
          </a:fgClr>
          <a:bgClr>
            <a:schemeClr val="bg1"/>
          </a:bgClr>
        </a:patt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Mask Paint  (MP)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15</xdr:col>
      <xdr:colOff>400050</xdr:colOff>
      <xdr:row>13</xdr:row>
      <xdr:rowOff>0</xdr:rowOff>
    </xdr:to>
    <xdr:sp macro="" textlink="">
      <xdr:nvSpPr>
        <xdr:cNvPr id="35" name="Oval 34"/>
        <xdr:cNvSpPr/>
      </xdr:nvSpPr>
      <xdr:spPr>
        <a:xfrm>
          <a:off x="10515600" y="1885950"/>
          <a:ext cx="819150" cy="819150"/>
        </a:xfrm>
        <a:prstGeom prst="ellipse">
          <a:avLst/>
        </a:prstGeom>
        <a:pattFill prst="ltDnDiag">
          <a:fgClr>
            <a:schemeClr val="accent3">
              <a:lumMod val="75000"/>
            </a:schemeClr>
          </a:fgClr>
          <a:bgClr>
            <a:schemeClr val="bg1"/>
          </a:bgClr>
        </a:patt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lang="en-US" sz="1100" b="1">
              <a:solidFill>
                <a:schemeClr val="tx1"/>
              </a:solidFill>
            </a:rPr>
            <a:t>Re-Cast (RC)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180975</xdr:rowOff>
    </xdr:from>
    <xdr:to>
      <xdr:col>12</xdr:col>
      <xdr:colOff>0</xdr:colOff>
      <xdr:row>5</xdr:row>
      <xdr:rowOff>0</xdr:rowOff>
    </xdr:to>
    <xdr:cxnSp macro="">
      <xdr:nvCxnSpPr>
        <xdr:cNvPr id="2" name="Straight Arrow Connector 1"/>
        <xdr:cNvCxnSpPr/>
      </xdr:nvCxnSpPr>
      <xdr:spPr>
        <a:xfrm>
          <a:off x="7086600" y="990600"/>
          <a:ext cx="1219200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</xdr:colOff>
      <xdr:row>4</xdr:row>
      <xdr:rowOff>171450</xdr:rowOff>
    </xdr:from>
    <xdr:to>
      <xdr:col>15</xdr:col>
      <xdr:colOff>19050</xdr:colOff>
      <xdr:row>4</xdr:row>
      <xdr:rowOff>180975</xdr:rowOff>
    </xdr:to>
    <xdr:cxnSp macro="">
      <xdr:nvCxnSpPr>
        <xdr:cNvPr id="3" name="Straight Arrow Connector 2"/>
        <xdr:cNvCxnSpPr/>
      </xdr:nvCxnSpPr>
      <xdr:spPr>
        <a:xfrm>
          <a:off x="9163050" y="981075"/>
          <a:ext cx="609600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5</xdr:row>
      <xdr:rowOff>0</xdr:rowOff>
    </xdr:from>
    <xdr:to>
      <xdr:col>12</xdr:col>
      <xdr:colOff>9525</xdr:colOff>
      <xdr:row>11</xdr:row>
      <xdr:rowOff>28575</xdr:rowOff>
    </xdr:to>
    <xdr:cxnSp macro="">
      <xdr:nvCxnSpPr>
        <xdr:cNvPr id="4" name="Straight Arrow Connector 3"/>
        <xdr:cNvCxnSpPr/>
      </xdr:nvCxnSpPr>
      <xdr:spPr>
        <a:xfrm flipV="1">
          <a:off x="7096125" y="1000125"/>
          <a:ext cx="1219200" cy="13430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6</xdr:row>
      <xdr:rowOff>9525</xdr:rowOff>
    </xdr:from>
    <xdr:to>
      <xdr:col>9</xdr:col>
      <xdr:colOff>19050</xdr:colOff>
      <xdr:row>10</xdr:row>
      <xdr:rowOff>0</xdr:rowOff>
    </xdr:to>
    <xdr:cxnSp macro="">
      <xdr:nvCxnSpPr>
        <xdr:cNvPr id="5" name="Straight Arrow Connector 4"/>
        <xdr:cNvCxnSpPr/>
      </xdr:nvCxnSpPr>
      <xdr:spPr>
        <a:xfrm>
          <a:off x="6686550" y="1209675"/>
          <a:ext cx="0" cy="8763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6</xdr:row>
      <xdr:rowOff>9525</xdr:rowOff>
    </xdr:from>
    <xdr:to>
      <xdr:col>13</xdr:col>
      <xdr:colOff>28575</xdr:colOff>
      <xdr:row>10</xdr:row>
      <xdr:rowOff>0</xdr:rowOff>
    </xdr:to>
    <xdr:cxnSp macro="">
      <xdr:nvCxnSpPr>
        <xdr:cNvPr id="6" name="Straight Arrow Connector 5"/>
        <xdr:cNvCxnSpPr/>
      </xdr:nvCxnSpPr>
      <xdr:spPr>
        <a:xfrm>
          <a:off x="8753475" y="1209675"/>
          <a:ext cx="0" cy="8763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409575</xdr:colOff>
      <xdr:row>5</xdr:row>
      <xdr:rowOff>190500</xdr:rowOff>
    </xdr:from>
    <xdr:to>
      <xdr:col>15</xdr:col>
      <xdr:colOff>409575</xdr:colOff>
      <xdr:row>10</xdr:row>
      <xdr:rowOff>0</xdr:rowOff>
    </xdr:to>
    <xdr:cxnSp macro="">
      <xdr:nvCxnSpPr>
        <xdr:cNvPr id="7" name="Straight Arrow Connector 6"/>
        <xdr:cNvCxnSpPr/>
      </xdr:nvCxnSpPr>
      <xdr:spPr>
        <a:xfrm>
          <a:off x="10163175" y="1190625"/>
          <a:ext cx="0" cy="89535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9525</xdr:colOff>
      <xdr:row>15</xdr:row>
      <xdr:rowOff>0</xdr:rowOff>
    </xdr:to>
    <xdr:cxnSp macro="">
      <xdr:nvCxnSpPr>
        <xdr:cNvPr id="8" name="Straight Arrow Connector 7"/>
        <xdr:cNvCxnSpPr/>
      </xdr:nvCxnSpPr>
      <xdr:spPr>
        <a:xfrm flipH="1">
          <a:off x="6667500" y="2514600"/>
          <a:ext cx="9525" cy="571500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</xdr:row>
      <xdr:rowOff>180975</xdr:rowOff>
    </xdr:from>
    <xdr:to>
      <xdr:col>7</xdr:col>
      <xdr:colOff>600075</xdr:colOff>
      <xdr:row>5</xdr:row>
      <xdr:rowOff>0</xdr:rowOff>
    </xdr:to>
    <xdr:cxnSp macro="">
      <xdr:nvCxnSpPr>
        <xdr:cNvPr id="9" name="Straight Arrow Connector 8"/>
        <xdr:cNvCxnSpPr/>
      </xdr:nvCxnSpPr>
      <xdr:spPr>
        <a:xfrm flipV="1">
          <a:off x="5638800" y="990600"/>
          <a:ext cx="600075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600075</xdr:colOff>
      <xdr:row>5</xdr:row>
      <xdr:rowOff>19050</xdr:rowOff>
    </xdr:to>
    <xdr:cxnSp macro="">
      <xdr:nvCxnSpPr>
        <xdr:cNvPr id="10" name="Straight Arrow Connector 9"/>
        <xdr:cNvCxnSpPr/>
      </xdr:nvCxnSpPr>
      <xdr:spPr>
        <a:xfrm flipV="1">
          <a:off x="10591800" y="1009650"/>
          <a:ext cx="600075" cy="9525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E12"/>
  <sheetViews>
    <sheetView workbookViewId="0">
      <selection activeCell="E14" sqref="E14"/>
    </sheetView>
  </sheetViews>
  <sheetFormatPr defaultRowHeight="15" x14ac:dyDescent="0.25"/>
  <cols>
    <col min="5" max="5" width="47.7109375" bestFit="1" customWidth="1"/>
  </cols>
  <sheetData>
    <row r="5" spans="4:5" ht="18.75" x14ac:dyDescent="0.3">
      <c r="D5" s="126" t="s">
        <v>117</v>
      </c>
      <c r="E5" s="127" t="s">
        <v>118</v>
      </c>
    </row>
    <row r="6" spans="4:5" ht="18.75" x14ac:dyDescent="0.3">
      <c r="D6" s="128"/>
      <c r="E6" s="128"/>
    </row>
    <row r="7" spans="4:5" ht="18.75" x14ac:dyDescent="0.3">
      <c r="D7" s="129" t="s">
        <v>119</v>
      </c>
      <c r="E7" s="130" t="s">
        <v>120</v>
      </c>
    </row>
    <row r="8" spans="4:5" ht="18.75" x14ac:dyDescent="0.3">
      <c r="D8" s="128"/>
      <c r="E8" s="128"/>
    </row>
    <row r="9" spans="4:5" ht="18.75" x14ac:dyDescent="0.3">
      <c r="D9" s="128"/>
      <c r="E9" s="128"/>
    </row>
    <row r="10" spans="4:5" ht="18.75" x14ac:dyDescent="0.3">
      <c r="D10" s="129" t="s">
        <v>121</v>
      </c>
      <c r="E10" s="128" t="s">
        <v>122</v>
      </c>
    </row>
    <row r="11" spans="4:5" ht="18.75" x14ac:dyDescent="0.3">
      <c r="D11" s="128"/>
      <c r="E11" s="128"/>
    </row>
    <row r="12" spans="4:5" ht="18.75" x14ac:dyDescent="0.3">
      <c r="D12" s="129" t="s">
        <v>123</v>
      </c>
      <c r="E12" s="128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5"/>
  <sheetViews>
    <sheetView topLeftCell="N1" workbookViewId="0">
      <selection activeCell="R23" sqref="R23"/>
    </sheetView>
  </sheetViews>
  <sheetFormatPr defaultRowHeight="15" x14ac:dyDescent="0.25"/>
  <cols>
    <col min="1" max="1" width="26.42578125" hidden="1" customWidth="1"/>
    <col min="2" max="10" width="9.85546875" hidden="1" customWidth="1"/>
    <col min="11" max="11" width="9.7109375" hidden="1" customWidth="1"/>
    <col min="12" max="12" width="20" hidden="1" customWidth="1"/>
    <col min="13" max="13" width="3.28515625" hidden="1" customWidth="1"/>
    <col min="14" max="14" width="9.5703125" bestFit="1" customWidth="1"/>
    <col min="15" max="16" width="6.28515625" customWidth="1"/>
    <col min="17" max="17" width="9.5703125" bestFit="1" customWidth="1"/>
    <col min="19" max="19" width="6.28515625" customWidth="1"/>
    <col min="20" max="20" width="7.140625" customWidth="1"/>
    <col min="21" max="21" width="11.5703125" bestFit="1" customWidth="1"/>
    <col min="22" max="23" width="6.28515625" customWidth="1"/>
    <col min="24" max="24" width="9.140625" customWidth="1"/>
    <col min="26" max="27" width="6.28515625" customWidth="1"/>
    <col min="29" max="29" width="6.28515625" customWidth="1"/>
    <col min="30" max="30" width="7" customWidth="1"/>
    <col min="32" max="33" width="6.28515625" customWidth="1"/>
    <col min="35" max="35" width="6.28515625" customWidth="1"/>
    <col min="36" max="36" width="7.42578125" customWidth="1"/>
  </cols>
  <sheetData>
    <row r="1" spans="1:37" x14ac:dyDescent="0.25">
      <c r="A1" s="83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19" t="s">
        <v>65</v>
      </c>
    </row>
    <row r="2" spans="1:37" x14ac:dyDescent="0.25">
      <c r="A2" s="34" t="s">
        <v>85</v>
      </c>
      <c r="B2" s="87">
        <f>'Large Model with Outputs'!B2</f>
        <v>600</v>
      </c>
      <c r="C2" s="36"/>
      <c r="D2" s="36"/>
      <c r="E2" s="34" t="s">
        <v>83</v>
      </c>
      <c r="F2" s="37">
        <f>'Large Model with Outputs'!F2</f>
        <v>0</v>
      </c>
      <c r="G2" s="36"/>
      <c r="H2" s="36"/>
      <c r="I2" s="36"/>
      <c r="J2" s="34" t="s">
        <v>112</v>
      </c>
      <c r="K2" s="38">
        <v>0</v>
      </c>
      <c r="L2" s="36"/>
      <c r="M2" s="30"/>
    </row>
    <row r="3" spans="1:37" ht="18" x14ac:dyDescent="0.35">
      <c r="A3" s="34" t="s">
        <v>82</v>
      </c>
      <c r="B3" s="37">
        <f>'Large Model with Outputs'!B3</f>
        <v>1</v>
      </c>
      <c r="C3" s="36"/>
      <c r="D3" s="36"/>
      <c r="E3" s="34" t="s">
        <v>86</v>
      </c>
      <c r="F3" s="37">
        <f>'Large Model with Outputs'!F3</f>
        <v>15</v>
      </c>
      <c r="G3" s="36" t="s">
        <v>10</v>
      </c>
      <c r="H3" s="36"/>
      <c r="I3" s="36"/>
      <c r="J3" s="34"/>
      <c r="K3" s="39"/>
      <c r="L3" s="36"/>
      <c r="M3" s="30"/>
      <c r="N3" s="4" t="s">
        <v>111</v>
      </c>
      <c r="Q3" s="4" t="s">
        <v>91</v>
      </c>
      <c r="R3" s="4" t="s">
        <v>93</v>
      </c>
      <c r="U3" s="4" t="s">
        <v>96</v>
      </c>
      <c r="X3" s="4" t="s">
        <v>101</v>
      </c>
      <c r="Y3" s="4" t="s">
        <v>102</v>
      </c>
      <c r="AB3" s="4" t="s">
        <v>105</v>
      </c>
      <c r="AE3" s="4" t="s">
        <v>107</v>
      </c>
      <c r="AH3" s="4" t="s">
        <v>109</v>
      </c>
      <c r="AK3" s="4" t="s">
        <v>110</v>
      </c>
    </row>
    <row r="4" spans="1:37" x14ac:dyDescent="0.25">
      <c r="A4" s="34" t="s">
        <v>18</v>
      </c>
      <c r="B4" s="88">
        <f>'Large Model with Outputs'!B4</f>
        <v>1</v>
      </c>
      <c r="C4" s="36"/>
      <c r="D4" s="36"/>
      <c r="E4" s="34" t="s">
        <v>84</v>
      </c>
      <c r="F4" s="37">
        <f>'Large Model with Outputs'!F4</f>
        <v>0</v>
      </c>
      <c r="G4" s="36"/>
      <c r="H4" s="36"/>
      <c r="I4" s="36"/>
      <c r="J4" s="34"/>
      <c r="K4" s="40"/>
      <c r="L4" s="36"/>
      <c r="M4" s="30"/>
      <c r="N4" s="28">
        <f>B29</f>
        <v>621.84964464700397</v>
      </c>
      <c r="O4" s="28"/>
      <c r="P4" s="28"/>
      <c r="Q4" s="28">
        <f>B30</f>
        <v>615.63114820053397</v>
      </c>
      <c r="R4" s="28">
        <f>D29</f>
        <v>621.53871982468047</v>
      </c>
      <c r="S4" s="28"/>
      <c r="T4" s="28"/>
      <c r="U4" s="28">
        <f>D30</f>
        <v>615.32333262643363</v>
      </c>
      <c r="V4" s="28"/>
      <c r="W4" s="28"/>
      <c r="X4" s="28">
        <f>E30</f>
        <v>609.17009930016934</v>
      </c>
      <c r="Y4" s="28">
        <f>G29</f>
        <v>615.32025600977045</v>
      </c>
      <c r="Z4" s="28"/>
      <c r="AA4" s="28"/>
      <c r="AB4" s="28">
        <f>G30</f>
        <v>615.25872398416948</v>
      </c>
      <c r="AC4" s="28"/>
      <c r="AD4" s="28"/>
      <c r="AE4" s="28">
        <f>H30</f>
        <v>609.10613674432773</v>
      </c>
      <c r="AF4" s="28"/>
      <c r="AG4" s="28"/>
      <c r="AH4" s="28">
        <f>I30</f>
        <v>606.06060606060612</v>
      </c>
      <c r="AI4" s="28"/>
      <c r="AJ4" s="28"/>
      <c r="AK4" s="28">
        <f>J30</f>
        <v>600</v>
      </c>
    </row>
    <row r="5" spans="1:37" ht="15" customHeight="1" x14ac:dyDescent="0.25">
      <c r="A5" s="34" t="s">
        <v>19</v>
      </c>
      <c r="B5" s="88">
        <f>'Large Model with Outputs'!B5</f>
        <v>8</v>
      </c>
      <c r="C5" s="36"/>
      <c r="D5" s="36"/>
      <c r="E5" s="34" t="s">
        <v>87</v>
      </c>
      <c r="F5" s="37">
        <f>'Large Model with Outputs'!F5</f>
        <v>30</v>
      </c>
      <c r="G5" s="36" t="s">
        <v>10</v>
      </c>
      <c r="H5" s="36"/>
      <c r="I5" s="36"/>
      <c r="J5" s="34"/>
      <c r="K5" s="39"/>
      <c r="L5" s="36"/>
      <c r="M5" s="30"/>
      <c r="N5" s="90"/>
      <c r="O5" s="121" t="s">
        <v>75</v>
      </c>
      <c r="P5" s="121"/>
      <c r="Q5" s="90"/>
      <c r="R5" s="90"/>
      <c r="S5" s="121" t="s">
        <v>95</v>
      </c>
      <c r="T5" s="121"/>
      <c r="U5" s="90"/>
      <c r="V5" s="121" t="s">
        <v>88</v>
      </c>
      <c r="W5" s="121"/>
      <c r="X5" s="90"/>
      <c r="Y5" s="90"/>
      <c r="Z5" s="121" t="s">
        <v>79</v>
      </c>
      <c r="AA5" s="121"/>
      <c r="AB5" s="90"/>
      <c r="AC5" s="121" t="s">
        <v>80</v>
      </c>
      <c r="AD5" s="121"/>
      <c r="AE5" s="91"/>
      <c r="AF5" s="121" t="s">
        <v>81</v>
      </c>
      <c r="AG5" s="121"/>
      <c r="AH5" s="90"/>
      <c r="AI5" s="121" t="s">
        <v>80</v>
      </c>
      <c r="AJ5" s="121"/>
    </row>
    <row r="6" spans="1:37" x14ac:dyDescent="0.25">
      <c r="A6" s="75"/>
      <c r="B6" s="76"/>
      <c r="C6" s="77"/>
      <c r="D6" s="77"/>
      <c r="E6" s="78"/>
      <c r="F6" s="76"/>
      <c r="G6" s="77"/>
      <c r="H6" s="77"/>
      <c r="I6" s="77"/>
      <c r="J6" s="78"/>
      <c r="K6" s="79"/>
      <c r="L6" s="77"/>
      <c r="M6" s="30"/>
      <c r="N6" s="90"/>
      <c r="O6" s="121"/>
      <c r="P6" s="121"/>
      <c r="Q6" s="90"/>
      <c r="R6" s="90"/>
      <c r="S6" s="121"/>
      <c r="T6" s="121"/>
      <c r="U6" s="90"/>
      <c r="V6" s="121"/>
      <c r="W6" s="121"/>
      <c r="X6" s="90"/>
      <c r="Y6" s="90"/>
      <c r="Z6" s="121"/>
      <c r="AA6" s="121"/>
      <c r="AB6" s="90"/>
      <c r="AC6" s="121"/>
      <c r="AD6" s="121"/>
      <c r="AE6" s="91"/>
      <c r="AF6" s="121"/>
      <c r="AG6" s="121"/>
      <c r="AH6" s="90"/>
      <c r="AI6" s="121"/>
      <c r="AJ6" s="121"/>
    </row>
    <row r="7" spans="1:37" ht="18" x14ac:dyDescent="0.35">
      <c r="A7" s="75"/>
      <c r="B7" s="84" t="str">
        <f>'Large Model with Outputs'!B7</f>
        <v>MC</v>
      </c>
      <c r="C7" s="84" t="s">
        <v>69</v>
      </c>
      <c r="D7" s="84" t="s">
        <v>67</v>
      </c>
      <c r="E7" s="84" t="s">
        <v>68</v>
      </c>
      <c r="F7" s="84" t="s">
        <v>70</v>
      </c>
      <c r="G7" s="84" t="s">
        <v>71</v>
      </c>
      <c r="H7" s="84" t="s">
        <v>72</v>
      </c>
      <c r="I7" s="84" t="s">
        <v>73</v>
      </c>
      <c r="J7" s="84" t="s">
        <v>72</v>
      </c>
      <c r="K7" s="77"/>
      <c r="L7" s="77"/>
      <c r="M7" s="30"/>
      <c r="N7" s="4" t="s">
        <v>89</v>
      </c>
      <c r="O7" s="4"/>
      <c r="P7" s="4"/>
      <c r="Q7" s="4"/>
      <c r="R7" s="4"/>
      <c r="S7" s="4"/>
      <c r="T7" s="4"/>
      <c r="U7" s="4" t="s">
        <v>97</v>
      </c>
      <c r="V7" s="4"/>
      <c r="W7" s="4"/>
      <c r="X7" s="4"/>
      <c r="Y7" s="4"/>
      <c r="Z7" s="4"/>
      <c r="AA7" s="4"/>
      <c r="AC7" s="4"/>
      <c r="AD7" s="4"/>
      <c r="AF7" s="4"/>
      <c r="AG7" s="4"/>
      <c r="AI7" s="4"/>
      <c r="AJ7" s="4"/>
    </row>
    <row r="8" spans="1:37" ht="18" x14ac:dyDescent="0.35">
      <c r="A8" s="34" t="s">
        <v>4</v>
      </c>
      <c r="B8" s="41">
        <f>'Large Model with Outputs'!B8</f>
        <v>0.01</v>
      </c>
      <c r="C8" s="41">
        <f>'Large Model with Outputs'!C8</f>
        <v>0.05</v>
      </c>
      <c r="D8" s="41">
        <f>'Large Model with Outputs'!D8</f>
        <v>0.01</v>
      </c>
      <c r="E8" s="41">
        <f>'Large Model with Outputs'!E8</f>
        <v>0.01</v>
      </c>
      <c r="F8" s="41">
        <f>'Large Model with Outputs'!F8</f>
        <v>5.0000000000000001E-4</v>
      </c>
      <c r="G8" s="41">
        <f>'Large Model with Outputs'!G8</f>
        <v>1E-4</v>
      </c>
      <c r="H8" s="41">
        <f>'Large Model with Outputs'!H8</f>
        <v>0.01</v>
      </c>
      <c r="I8" s="41">
        <f>'Large Model with Outputs'!I8</f>
        <v>5.0000000000000001E-3</v>
      </c>
      <c r="J8" s="42">
        <f>'Large Model with Outputs'!J8</f>
        <v>0.01</v>
      </c>
      <c r="K8" s="36"/>
      <c r="L8" s="36"/>
      <c r="M8" s="30"/>
      <c r="N8" s="22">
        <f>B8</f>
        <v>0.01</v>
      </c>
      <c r="O8" s="4"/>
      <c r="P8" s="4"/>
      <c r="Q8" s="27" t="s">
        <v>92</v>
      </c>
      <c r="R8" s="4"/>
      <c r="S8" s="4"/>
      <c r="T8" s="4"/>
      <c r="U8" s="17">
        <f>E8</f>
        <v>0.01</v>
      </c>
      <c r="V8" s="4"/>
      <c r="W8" s="4"/>
      <c r="X8" s="27" t="s">
        <v>103</v>
      </c>
      <c r="Y8" s="4"/>
      <c r="Z8" s="4"/>
      <c r="AA8" s="4"/>
      <c r="AC8" s="4"/>
      <c r="AD8" s="4"/>
      <c r="AF8" s="4"/>
      <c r="AG8" s="4"/>
      <c r="AI8" s="4"/>
      <c r="AJ8" s="4"/>
    </row>
    <row r="9" spans="1:37" ht="18" x14ac:dyDescent="0.35">
      <c r="A9" s="34" t="s">
        <v>5</v>
      </c>
      <c r="B9" s="37">
        <f>'Large Model with Outputs'!B9</f>
        <v>8</v>
      </c>
      <c r="C9" s="37">
        <f>'Large Model with Outputs'!C9</f>
        <v>8</v>
      </c>
      <c r="D9" s="37">
        <f>'Large Model with Outputs'!D9</f>
        <v>4</v>
      </c>
      <c r="E9" s="37">
        <f>'Large Model with Outputs'!E9</f>
        <v>6</v>
      </c>
      <c r="F9" s="37">
        <f>'Large Model with Outputs'!F9</f>
        <v>6</v>
      </c>
      <c r="G9" s="37">
        <f>'Large Model with Outputs'!G9</f>
        <v>8</v>
      </c>
      <c r="H9" s="37">
        <f>'Large Model with Outputs'!H9</f>
        <v>20</v>
      </c>
      <c r="I9" s="37">
        <f>'Large Model with Outputs'!I9</f>
        <v>6</v>
      </c>
      <c r="J9" s="37">
        <f>'Large Model with Outputs'!J9</f>
        <v>20</v>
      </c>
      <c r="K9" s="36" t="s">
        <v>12</v>
      </c>
      <c r="L9" s="36"/>
      <c r="M9" s="30"/>
      <c r="N9" s="4" t="s">
        <v>90</v>
      </c>
      <c r="O9" s="4"/>
      <c r="P9" s="4"/>
      <c r="Q9" s="25">
        <f>C30</f>
        <v>5.907571624146537</v>
      </c>
      <c r="R9" s="4"/>
      <c r="S9" s="4"/>
      <c r="T9" s="4"/>
      <c r="U9" s="4" t="s">
        <v>98</v>
      </c>
      <c r="V9" s="4"/>
      <c r="W9" s="4"/>
      <c r="X9" s="25">
        <f>F30</f>
        <v>6.1501567096012044</v>
      </c>
      <c r="Y9" s="4"/>
      <c r="Z9" s="4"/>
      <c r="AA9" s="4"/>
      <c r="AB9" s="4"/>
      <c r="AC9" s="4"/>
      <c r="AD9" s="4"/>
      <c r="AF9" s="4"/>
      <c r="AG9" s="4"/>
      <c r="AH9" s="4"/>
      <c r="AI9" s="4"/>
      <c r="AJ9" s="4"/>
    </row>
    <row r="10" spans="1:37" ht="15.75" thickBot="1" x14ac:dyDescent="0.3">
      <c r="A10" s="34" t="s">
        <v>6</v>
      </c>
      <c r="B10" s="37">
        <f>'Large Model with Outputs'!B10</f>
        <v>3.5</v>
      </c>
      <c r="C10" s="37">
        <f>'Large Model with Outputs'!C10</f>
        <v>3.5</v>
      </c>
      <c r="D10" s="37">
        <f>'Large Model with Outputs'!D10</f>
        <v>6</v>
      </c>
      <c r="E10" s="37">
        <f>'Large Model with Outputs'!E10</f>
        <v>6</v>
      </c>
      <c r="F10" s="37">
        <f>'Large Model with Outputs'!F10</f>
        <v>6</v>
      </c>
      <c r="G10" s="37">
        <f>'Large Model with Outputs'!G10</f>
        <v>4</v>
      </c>
      <c r="H10" s="37">
        <f>'Large Model with Outputs'!H10</f>
        <v>3</v>
      </c>
      <c r="I10" s="37">
        <f>'Large Model with Outputs'!I10</f>
        <v>4</v>
      </c>
      <c r="J10" s="37">
        <f>'Large Model with Outputs'!J10</f>
        <v>3</v>
      </c>
      <c r="K10" s="36" t="s">
        <v>12</v>
      </c>
      <c r="L10" s="36"/>
      <c r="M10" s="30"/>
      <c r="N10" s="26">
        <f>C29</f>
        <v>6.2184964464700396</v>
      </c>
      <c r="O10" s="4"/>
      <c r="P10" s="4"/>
      <c r="Q10" s="4"/>
      <c r="R10" s="4"/>
      <c r="S10" s="4"/>
      <c r="T10" s="4"/>
      <c r="U10" s="26">
        <f>F29</f>
        <v>6.1532333262643366</v>
      </c>
      <c r="V10" s="4"/>
      <c r="W10" s="4"/>
      <c r="X10" s="4"/>
      <c r="Y10" s="4"/>
      <c r="Z10" s="4"/>
      <c r="AA10" s="4"/>
      <c r="AB10" s="4"/>
      <c r="AC10" s="4"/>
      <c r="AD10" s="4"/>
      <c r="AF10" s="4"/>
      <c r="AG10" s="4"/>
      <c r="AH10" s="4"/>
      <c r="AI10" s="4"/>
      <c r="AJ10" s="4"/>
    </row>
    <row r="11" spans="1:37" ht="18" x14ac:dyDescent="0.35">
      <c r="A11" s="34" t="s">
        <v>7</v>
      </c>
      <c r="B11" s="43">
        <f>'Large Model with Outputs'!B11</f>
        <v>4</v>
      </c>
      <c r="C11" s="43">
        <f>'Large Model with Outputs'!C11</f>
        <v>4</v>
      </c>
      <c r="D11" s="43">
        <f>'Large Model with Outputs'!D11</f>
        <v>1</v>
      </c>
      <c r="E11" s="43">
        <f>'Large Model with Outputs'!E11</f>
        <v>1</v>
      </c>
      <c r="F11" s="43">
        <f>'Large Model with Outputs'!F11</f>
        <v>1</v>
      </c>
      <c r="G11" s="43">
        <f>'Large Model with Outputs'!G11</f>
        <v>4</v>
      </c>
      <c r="H11" s="43">
        <f>'Large Model with Outputs'!H11</f>
        <v>1</v>
      </c>
      <c r="I11" s="43">
        <f>'Large Model with Outputs'!I11</f>
        <v>2</v>
      </c>
      <c r="J11" s="43">
        <f>'Large Model with Outputs'!J11</f>
        <v>1</v>
      </c>
      <c r="K11" s="36"/>
      <c r="L11" s="36"/>
      <c r="M11" s="30"/>
      <c r="N11" s="90"/>
      <c r="O11" s="121" t="s">
        <v>77</v>
      </c>
      <c r="P11" s="121"/>
      <c r="Q11" s="4"/>
      <c r="R11" s="4"/>
      <c r="S11" s="4" t="s">
        <v>94</v>
      </c>
      <c r="T11" s="23">
        <f>D8</f>
        <v>0.01</v>
      </c>
      <c r="U11" s="4"/>
      <c r="V11" s="122" t="s">
        <v>78</v>
      </c>
      <c r="W11" s="123"/>
      <c r="X11" s="4"/>
      <c r="Y11" s="4"/>
      <c r="Z11" s="4" t="s">
        <v>104</v>
      </c>
      <c r="AA11" s="23">
        <f>G8</f>
        <v>1E-4</v>
      </c>
      <c r="AB11" s="4"/>
      <c r="AC11" s="4" t="s">
        <v>106</v>
      </c>
      <c r="AD11" s="23">
        <f>H8</f>
        <v>0.01</v>
      </c>
      <c r="AF11" s="4" t="s">
        <v>108</v>
      </c>
      <c r="AG11" s="23">
        <f>I8</f>
        <v>5.0000000000000001E-3</v>
      </c>
      <c r="AH11" s="4"/>
      <c r="AI11" s="4" t="s">
        <v>106</v>
      </c>
      <c r="AJ11" s="23">
        <f>J8</f>
        <v>0.01</v>
      </c>
    </row>
    <row r="12" spans="1:37" ht="15.75" thickBot="1" x14ac:dyDescent="0.3">
      <c r="A12" s="34" t="s">
        <v>9</v>
      </c>
      <c r="B12" s="35">
        <f>'Large Model with Outputs'!B12</f>
        <v>103680</v>
      </c>
      <c r="C12" s="35">
        <f>'Large Model with Outputs'!C12</f>
        <v>103680</v>
      </c>
      <c r="D12" s="35">
        <f>'Large Model with Outputs'!D12</f>
        <v>8640</v>
      </c>
      <c r="E12" s="35">
        <f>'Large Model with Outputs'!E12</f>
        <v>1440</v>
      </c>
      <c r="F12" s="35">
        <f>'Large Model with Outputs'!F12</f>
        <v>1440</v>
      </c>
      <c r="G12" s="35">
        <f>'Large Model with Outputs'!G12</f>
        <v>7200</v>
      </c>
      <c r="H12" s="35">
        <f>'Large Model with Outputs'!H12</f>
        <v>311040</v>
      </c>
      <c r="I12" s="35">
        <f>'Large Model with Outputs'!I12</f>
        <v>7200</v>
      </c>
      <c r="J12" s="35">
        <f>'Large Model with Outputs'!J12</f>
        <v>311040</v>
      </c>
      <c r="K12" s="36" t="s">
        <v>10</v>
      </c>
      <c r="L12" s="36"/>
      <c r="M12" s="30"/>
      <c r="N12" s="90"/>
      <c r="O12" s="121"/>
      <c r="P12" s="121"/>
      <c r="S12" s="4"/>
      <c r="T12" s="25">
        <f>D29*D8</f>
        <v>6.2153871982468045</v>
      </c>
      <c r="U12" s="4"/>
      <c r="V12" s="124"/>
      <c r="W12" s="125"/>
      <c r="Z12" s="4"/>
      <c r="AA12" s="25">
        <f>G29*G8</f>
        <v>6.153202560097705E-2</v>
      </c>
      <c r="AB12" s="4"/>
      <c r="AC12" s="4"/>
      <c r="AD12" s="25">
        <f>H29*H8</f>
        <v>6.1525872398416945</v>
      </c>
      <c r="AF12" s="4"/>
      <c r="AG12" s="25">
        <f>I29*I8</f>
        <v>3.0455306837216387</v>
      </c>
      <c r="AH12" s="4"/>
      <c r="AI12" s="4"/>
      <c r="AJ12" s="25">
        <f>J29*J8</f>
        <v>6.0606060606060614</v>
      </c>
    </row>
    <row r="13" spans="1:37" x14ac:dyDescent="0.25">
      <c r="A13" s="34" t="s">
        <v>13</v>
      </c>
      <c r="B13" s="37">
        <f>'Large Model with Outputs'!B13</f>
        <v>240</v>
      </c>
      <c r="C13" s="37">
        <f>'Large Model with Outputs'!C13</f>
        <v>240</v>
      </c>
      <c r="D13" s="37">
        <f>'Large Model with Outputs'!D13</f>
        <v>4</v>
      </c>
      <c r="E13" s="37">
        <f>'Large Model with Outputs'!E13</f>
        <v>2</v>
      </c>
      <c r="F13" s="37">
        <f>'Large Model with Outputs'!F13</f>
        <v>2</v>
      </c>
      <c r="G13" s="37">
        <f>'Large Model with Outputs'!G13</f>
        <v>1</v>
      </c>
      <c r="H13" s="37">
        <f>'Large Model with Outputs'!H13</f>
        <v>12</v>
      </c>
      <c r="I13" s="37">
        <f>'Large Model with Outputs'!I13</f>
        <v>1</v>
      </c>
      <c r="J13" s="37">
        <f>'Large Model with Outputs'!J13</f>
        <v>12</v>
      </c>
      <c r="K13" s="36" t="s">
        <v>10</v>
      </c>
      <c r="L13" s="36"/>
      <c r="M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37" x14ac:dyDescent="0.25">
      <c r="A14" s="34" t="s">
        <v>14</v>
      </c>
      <c r="B14" s="37">
        <f>'Large Model with Outputs'!B14</f>
        <v>336</v>
      </c>
      <c r="C14" s="37">
        <f>'Large Model with Outputs'!C14</f>
        <v>336</v>
      </c>
      <c r="D14" s="37">
        <f>'Large Model with Outputs'!D14</f>
        <v>0.5</v>
      </c>
      <c r="E14" s="37">
        <f>'Large Model with Outputs'!E14</f>
        <v>5</v>
      </c>
      <c r="F14" s="37">
        <f>'Large Model with Outputs'!F14</f>
        <v>5</v>
      </c>
      <c r="G14" s="37">
        <f>'Large Model with Outputs'!G14</f>
        <v>72</v>
      </c>
      <c r="H14" s="37">
        <f>'Large Model with Outputs'!H14</f>
        <v>26</v>
      </c>
      <c r="I14" s="37">
        <f>'Large Model with Outputs'!I14</f>
        <v>72</v>
      </c>
      <c r="J14" s="37">
        <f>'Large Model with Outputs'!J14</f>
        <v>26</v>
      </c>
      <c r="K14" s="36" t="s">
        <v>10</v>
      </c>
      <c r="L14" s="36"/>
      <c r="M14" s="30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37" x14ac:dyDescent="0.25">
      <c r="A15" s="34" t="s">
        <v>15</v>
      </c>
      <c r="B15" s="37">
        <f>'Large Model with Outputs'!B15</f>
        <v>1104</v>
      </c>
      <c r="C15" s="37">
        <f>'Large Model with Outputs'!C15</f>
        <v>1104</v>
      </c>
      <c r="D15" s="37">
        <f>'Large Model with Outputs'!D15</f>
        <v>0</v>
      </c>
      <c r="E15" s="37">
        <f>'Large Model with Outputs'!E15</f>
        <v>0</v>
      </c>
      <c r="F15" s="37">
        <f>'Large Model with Outputs'!F15</f>
        <v>0</v>
      </c>
      <c r="G15" s="37">
        <f>'Large Model with Outputs'!G15</f>
        <v>2</v>
      </c>
      <c r="H15" s="37">
        <f>'Large Model with Outputs'!H15</f>
        <v>4</v>
      </c>
      <c r="I15" s="37">
        <f>'Large Model with Outputs'!I15</f>
        <v>2</v>
      </c>
      <c r="J15" s="37">
        <f>'Large Model with Outputs'!J15</f>
        <v>4</v>
      </c>
      <c r="K15" s="36" t="s">
        <v>10</v>
      </c>
      <c r="L15" s="36"/>
      <c r="M15" s="30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37" ht="18" x14ac:dyDescent="0.35">
      <c r="A16" s="34" t="s">
        <v>16</v>
      </c>
      <c r="B16" s="37">
        <f>'Large Model with Outputs'!B16</f>
        <v>105</v>
      </c>
      <c r="C16" s="37">
        <f>'Large Model with Outputs'!C16</f>
        <v>105</v>
      </c>
      <c r="D16" s="37">
        <f>'Large Model with Outputs'!D16</f>
        <v>0.2</v>
      </c>
      <c r="E16" s="37">
        <f>'Large Model with Outputs'!E16</f>
        <v>0.2</v>
      </c>
      <c r="F16" s="37">
        <f>'Large Model with Outputs'!F16</f>
        <v>0.2</v>
      </c>
      <c r="G16" s="37">
        <f>'Large Model with Outputs'!G16</f>
        <v>0.2</v>
      </c>
      <c r="H16" s="37">
        <f>'Large Model with Outputs'!H16</f>
        <v>15</v>
      </c>
      <c r="I16" s="37">
        <f>'Large Model with Outputs'!I16</f>
        <v>0.2</v>
      </c>
      <c r="J16" s="37">
        <f>'Large Model with Outputs'!J16</f>
        <v>15</v>
      </c>
      <c r="K16" s="36" t="s">
        <v>10</v>
      </c>
      <c r="L16" s="36"/>
      <c r="M16" s="30"/>
      <c r="O16" s="4" t="s">
        <v>100</v>
      </c>
      <c r="P16" s="23">
        <f>C8</f>
        <v>0.05</v>
      </c>
      <c r="V16" s="4" t="s">
        <v>99</v>
      </c>
      <c r="W16" s="23">
        <f>F8</f>
        <v>5.0000000000000001E-4</v>
      </c>
      <c r="X16" s="18"/>
    </row>
    <row r="17" spans="1:24" x14ac:dyDescent="0.25">
      <c r="A17" s="21"/>
      <c r="L17" s="30"/>
      <c r="M17" s="30"/>
      <c r="O17" s="4"/>
      <c r="P17" s="25">
        <f>C29*C8</f>
        <v>0.31092482232350199</v>
      </c>
      <c r="V17" s="4"/>
      <c r="W17" s="25">
        <f>F29*F8</f>
        <v>3.0766166631321684E-3</v>
      </c>
      <c r="X17" s="11"/>
    </row>
    <row r="18" spans="1:24" x14ac:dyDescent="0.25">
      <c r="A18" s="34" t="s">
        <v>21</v>
      </c>
      <c r="B18" s="38">
        <f>'Large Model with Outputs'!B18</f>
        <v>25.5</v>
      </c>
      <c r="C18" s="38">
        <f>'Large Model with Outputs'!C18</f>
        <v>25.5</v>
      </c>
      <c r="D18" s="38">
        <f>'Large Model with Outputs'!D18</f>
        <v>25.5</v>
      </c>
      <c r="E18" s="38">
        <f>'Large Model with Outputs'!E18</f>
        <v>19</v>
      </c>
      <c r="F18" s="38">
        <f>'Large Model with Outputs'!F18</f>
        <v>19</v>
      </c>
      <c r="G18" s="38">
        <f>'Large Model with Outputs'!G18</f>
        <v>22</v>
      </c>
      <c r="H18" s="38">
        <f>'Large Model with Outputs'!H18</f>
        <v>17</v>
      </c>
      <c r="I18" s="38">
        <f>'Large Model with Outputs'!I18</f>
        <v>25</v>
      </c>
      <c r="J18" s="38">
        <f>'Large Model with Outputs'!J18</f>
        <v>17</v>
      </c>
      <c r="K18" s="36"/>
      <c r="L18" s="36"/>
      <c r="M18" s="30"/>
      <c r="O18" s="4"/>
      <c r="P18" s="18"/>
    </row>
    <row r="19" spans="1:24" x14ac:dyDescent="0.25">
      <c r="A19" s="34" t="s">
        <v>22</v>
      </c>
      <c r="B19" s="43">
        <f>'Large Model with Outputs'!B19</f>
        <v>0.52</v>
      </c>
      <c r="C19" s="43">
        <f>'Large Model with Outputs'!C19</f>
        <v>0.52</v>
      </c>
      <c r="D19" s="43">
        <f>'Large Model with Outputs'!D19</f>
        <v>0.52</v>
      </c>
      <c r="E19" s="43">
        <f>'Large Model with Outputs'!E19</f>
        <v>0.52</v>
      </c>
      <c r="F19" s="43">
        <f>'Large Model with Outputs'!F19</f>
        <v>0.52</v>
      </c>
      <c r="G19" s="43">
        <f>'Large Model with Outputs'!G19</f>
        <v>0.52</v>
      </c>
      <c r="H19" s="43">
        <f>'Large Model with Outputs'!H19</f>
        <v>0.52</v>
      </c>
      <c r="I19" s="43">
        <f>'Large Model with Outputs'!I19</f>
        <v>0.52</v>
      </c>
      <c r="J19" s="43">
        <f>'Large Model with Outputs'!J19</f>
        <v>0.52</v>
      </c>
      <c r="K19" s="36"/>
      <c r="L19" s="36"/>
      <c r="M19" s="30"/>
      <c r="O19" s="4"/>
      <c r="P19" s="18"/>
    </row>
    <row r="20" spans="1:24" x14ac:dyDescent="0.25">
      <c r="A20" s="34" t="s">
        <v>20</v>
      </c>
      <c r="B20" s="38">
        <f>'Large Model with Outputs'!B20</f>
        <v>29</v>
      </c>
      <c r="C20" s="38">
        <f>'Large Model with Outputs'!C20</f>
        <v>29</v>
      </c>
      <c r="D20" s="38">
        <f>'Large Model with Outputs'!D20</f>
        <v>7</v>
      </c>
      <c r="E20" s="38">
        <f>'Large Model with Outputs'!E20</f>
        <v>2</v>
      </c>
      <c r="F20" s="38">
        <f>'Large Model with Outputs'!F20</f>
        <v>2</v>
      </c>
      <c r="G20" s="38">
        <f>'Large Model with Outputs'!G20</f>
        <v>1</v>
      </c>
      <c r="H20" s="38">
        <f>'Large Model with Outputs'!H20</f>
        <v>12</v>
      </c>
      <c r="I20" s="38">
        <f>'Large Model with Outputs'!I20</f>
        <v>4</v>
      </c>
      <c r="J20" s="38">
        <f>'Large Model with Outputs'!J20</f>
        <v>12</v>
      </c>
      <c r="K20" s="36"/>
      <c r="L20" s="36"/>
      <c r="M20" s="30"/>
      <c r="O20" s="4"/>
      <c r="P20" s="18"/>
    </row>
    <row r="21" spans="1:24" x14ac:dyDescent="0.25">
      <c r="A21" s="21"/>
      <c r="C21" s="4"/>
      <c r="D21" s="4"/>
      <c r="E21" s="4"/>
      <c r="F21" s="4"/>
      <c r="G21" s="4"/>
      <c r="H21" s="4"/>
      <c r="I21" s="4"/>
      <c r="J21" s="4"/>
      <c r="M21" s="30"/>
      <c r="O21" s="4"/>
      <c r="P21" s="18"/>
    </row>
    <row r="22" spans="1:24" x14ac:dyDescent="0.25">
      <c r="A22" s="34" t="s">
        <v>23</v>
      </c>
      <c r="B22" s="37">
        <f>'Large Model with Outputs'!B22</f>
        <v>10</v>
      </c>
      <c r="C22" s="37">
        <f>'Large Model with Outputs'!C22</f>
        <v>10</v>
      </c>
      <c r="D22" s="37">
        <f>'Large Model with Outputs'!D22</f>
        <v>25</v>
      </c>
      <c r="E22" s="37">
        <f>'Large Model with Outputs'!E22</f>
        <v>25</v>
      </c>
      <c r="F22" s="37">
        <f>'Large Model with Outputs'!F22</f>
        <v>25</v>
      </c>
      <c r="G22" s="37">
        <f>'Large Model with Outputs'!G22</f>
        <v>15</v>
      </c>
      <c r="H22" s="37">
        <f>'Large Model with Outputs'!H22</f>
        <v>40</v>
      </c>
      <c r="I22" s="37">
        <f>'Large Model with Outputs'!I22</f>
        <v>15</v>
      </c>
      <c r="J22" s="37">
        <f>'Large Model with Outputs'!J22</f>
        <v>40</v>
      </c>
      <c r="K22" s="36" t="s">
        <v>25</v>
      </c>
      <c r="L22" s="36"/>
      <c r="M22" s="30"/>
      <c r="N22" s="30"/>
    </row>
    <row r="23" spans="1:24" x14ac:dyDescent="0.25">
      <c r="A23" s="34" t="s">
        <v>24</v>
      </c>
      <c r="B23" s="37">
        <f>'Large Model with Outputs'!B23</f>
        <v>68</v>
      </c>
      <c r="C23" s="37">
        <f>'Large Model with Outputs'!C23</f>
        <v>120</v>
      </c>
      <c r="D23" s="37">
        <f>'Large Model with Outputs'!D23</f>
        <v>0</v>
      </c>
      <c r="E23" s="37">
        <f>'Large Model with Outputs'!E23</f>
        <v>6</v>
      </c>
      <c r="F23" s="37">
        <f>'Large Model with Outputs'!F23</f>
        <v>12</v>
      </c>
      <c r="G23" s="37">
        <f>'Large Model with Outputs'!G23</f>
        <v>20</v>
      </c>
      <c r="H23" s="37">
        <f>'Large Model with Outputs'!H23</f>
        <v>10</v>
      </c>
      <c r="I23" s="37">
        <f>'Large Model with Outputs'!I23</f>
        <v>20</v>
      </c>
      <c r="J23" s="37">
        <f>'Large Model with Outputs'!J23</f>
        <v>10</v>
      </c>
      <c r="K23" s="36" t="s">
        <v>25</v>
      </c>
      <c r="L23" s="36"/>
      <c r="M23" s="30"/>
      <c r="N23" s="30"/>
    </row>
    <row r="24" spans="1:24" x14ac:dyDescent="0.25">
      <c r="A24" s="34" t="s">
        <v>27</v>
      </c>
      <c r="B24" s="37">
        <f>'Large Model with Outputs'!B24</f>
        <v>42</v>
      </c>
      <c r="C24" s="37">
        <f>'Large Model with Outputs'!C24</f>
        <v>50</v>
      </c>
      <c r="D24" s="37">
        <f>'Large Model with Outputs'!D24</f>
        <v>5</v>
      </c>
      <c r="E24" s="37">
        <f>'Large Model with Outputs'!E24</f>
        <v>25</v>
      </c>
      <c r="F24" s="37">
        <f>'Large Model with Outputs'!F24</f>
        <v>25</v>
      </c>
      <c r="G24" s="37">
        <f>'Large Model with Outputs'!G24</f>
        <v>30</v>
      </c>
      <c r="H24" s="37">
        <f>'Large Model with Outputs'!H24</f>
        <v>45</v>
      </c>
      <c r="I24" s="37">
        <f>'Large Model with Outputs'!I24</f>
        <v>30</v>
      </c>
      <c r="J24" s="37">
        <f>'Large Model with Outputs'!J24</f>
        <v>45</v>
      </c>
      <c r="K24" s="36" t="s">
        <v>25</v>
      </c>
      <c r="L24" s="36"/>
      <c r="M24" s="30"/>
      <c r="N24" s="30"/>
    </row>
    <row r="25" spans="1:24" x14ac:dyDescent="0.25">
      <c r="A25" s="34" t="s">
        <v>26</v>
      </c>
      <c r="B25" s="37">
        <f>'Large Model with Outputs'!B25</f>
        <v>15</v>
      </c>
      <c r="C25" s="37">
        <f>'Large Model with Outputs'!C25</f>
        <v>15</v>
      </c>
      <c r="D25" s="37">
        <f>'Large Model with Outputs'!D25</f>
        <v>8</v>
      </c>
      <c r="E25" s="37">
        <f>'Large Model with Outputs'!E25</f>
        <v>4</v>
      </c>
      <c r="F25" s="37">
        <f>'Large Model with Outputs'!F25</f>
        <v>4</v>
      </c>
      <c r="G25" s="37">
        <f>'Large Model with Outputs'!G25</f>
        <v>8</v>
      </c>
      <c r="H25" s="37">
        <f>'Large Model with Outputs'!H25</f>
        <v>10</v>
      </c>
      <c r="I25" s="37">
        <f>'Large Model with Outputs'!I25</f>
        <v>8</v>
      </c>
      <c r="J25" s="37">
        <f>'Large Model with Outputs'!J25</f>
        <v>10</v>
      </c>
      <c r="K25" s="36" t="s">
        <v>74</v>
      </c>
      <c r="L25" s="36"/>
      <c r="M25" s="30"/>
      <c r="N25" s="30"/>
    </row>
    <row r="26" spans="1:24" x14ac:dyDescent="0.25">
      <c r="A26" s="34" t="s">
        <v>31</v>
      </c>
      <c r="B26" s="37">
        <f>'Large Model with Outputs'!B26</f>
        <v>1.25</v>
      </c>
      <c r="C26" s="37">
        <f>'Large Model with Outputs'!C26</f>
        <v>0.5</v>
      </c>
      <c r="D26" s="37">
        <f>'Large Model with Outputs'!D26</f>
        <v>4</v>
      </c>
      <c r="E26" s="37">
        <f>'Large Model with Outputs'!E26</f>
        <v>1</v>
      </c>
      <c r="F26" s="37">
        <f>'Large Model with Outputs'!F26</f>
        <v>1</v>
      </c>
      <c r="G26" s="37">
        <f>'Large Model with Outputs'!G26</f>
        <v>4</v>
      </c>
      <c r="H26" s="37">
        <f>'Large Model with Outputs'!H26</f>
        <v>1</v>
      </c>
      <c r="I26" s="37">
        <f>'Large Model with Outputs'!I26</f>
        <v>2</v>
      </c>
      <c r="J26" s="37">
        <f>'Large Model with Outputs'!J26</f>
        <v>1</v>
      </c>
      <c r="K26" s="36" t="s">
        <v>32</v>
      </c>
      <c r="L26" s="36"/>
      <c r="M26" s="30"/>
      <c r="N26" s="30"/>
    </row>
    <row r="27" spans="1:24" x14ac:dyDescent="0.25">
      <c r="A27" s="77"/>
      <c r="B27" s="77"/>
      <c r="C27" s="77"/>
      <c r="D27" s="81"/>
      <c r="E27" s="82"/>
      <c r="F27" s="82"/>
      <c r="G27" s="81"/>
      <c r="H27" s="77"/>
      <c r="I27" s="77"/>
      <c r="J27" s="77"/>
      <c r="K27" s="77"/>
      <c r="L27" s="77"/>
    </row>
    <row r="28" spans="1:24" x14ac:dyDescent="0.25">
      <c r="A28" s="77"/>
      <c r="B28" s="84" t="str">
        <f>'Large Model with Outputs'!B28</f>
        <v>MC</v>
      </c>
      <c r="C28" s="84" t="str">
        <f>'Large Model with Outputs'!C28</f>
        <v>RC</v>
      </c>
      <c r="D28" s="84" t="str">
        <f>'Large Model with Outputs'!D28</f>
        <v>TS</v>
      </c>
      <c r="E28" s="84" t="str">
        <f>'Large Model with Outputs'!E28</f>
        <v>DD</v>
      </c>
      <c r="F28" s="84" t="str">
        <f>'Large Model with Outputs'!F28</f>
        <v>FM</v>
      </c>
      <c r="G28" s="84" t="str">
        <f>'Large Model with Outputs'!G28</f>
        <v>BP</v>
      </c>
      <c r="H28" s="84" t="str">
        <f>'Large Model with Outputs'!H28</f>
        <v>DO</v>
      </c>
      <c r="I28" s="84" t="str">
        <f>'Large Model with Outputs'!I28</f>
        <v>MP</v>
      </c>
      <c r="J28" s="84" t="str">
        <f>'Large Model with Outputs'!J28</f>
        <v>DO</v>
      </c>
      <c r="K28" s="77"/>
      <c r="L28" s="80"/>
      <c r="M28" s="12"/>
    </row>
    <row r="29" spans="1:24" x14ac:dyDescent="0.25">
      <c r="A29" s="56" t="s">
        <v>29</v>
      </c>
      <c r="B29" s="57">
        <f>'Large Model with Outputs'!B29</f>
        <v>621.84964464700397</v>
      </c>
      <c r="C29" s="57">
        <f>'Large Model with Outputs'!C29</f>
        <v>6.2184964464700396</v>
      </c>
      <c r="D29" s="57">
        <f>'Large Model with Outputs'!D29</f>
        <v>621.53871982468047</v>
      </c>
      <c r="E29" s="57">
        <f>'Large Model with Outputs'!E29</f>
        <v>615.32333262643363</v>
      </c>
      <c r="F29" s="57">
        <f>'Large Model with Outputs'!F29</f>
        <v>6.1532333262643366</v>
      </c>
      <c r="G29" s="57">
        <f>'Large Model with Outputs'!G29</f>
        <v>615.32025600977045</v>
      </c>
      <c r="H29" s="57">
        <f>'Large Model with Outputs'!H29</f>
        <v>615.25872398416948</v>
      </c>
      <c r="I29" s="57">
        <f>'Large Model with Outputs'!I29</f>
        <v>609.10613674432773</v>
      </c>
      <c r="J29" s="57">
        <f>'Large Model with Outputs'!J29</f>
        <v>606.06060606060612</v>
      </c>
      <c r="K29" s="58" t="s">
        <v>48</v>
      </c>
      <c r="L29" s="59"/>
      <c r="M29" s="15"/>
    </row>
    <row r="30" spans="1:24" x14ac:dyDescent="0.25">
      <c r="A30" s="56" t="s">
        <v>28</v>
      </c>
      <c r="B30" s="57">
        <f>'Large Model with Outputs'!B30</f>
        <v>615.63114820053397</v>
      </c>
      <c r="C30" s="57">
        <f>'Large Model with Outputs'!C30</f>
        <v>5.907571624146537</v>
      </c>
      <c r="D30" s="57">
        <f>'Large Model with Outputs'!D30</f>
        <v>615.32333262643363</v>
      </c>
      <c r="E30" s="57">
        <f>'Large Model with Outputs'!E30</f>
        <v>609.17009930016934</v>
      </c>
      <c r="F30" s="57">
        <f>'Large Model with Outputs'!F30</f>
        <v>6.1501567096012044</v>
      </c>
      <c r="G30" s="57">
        <f>'Large Model with Outputs'!G30</f>
        <v>615.25872398416948</v>
      </c>
      <c r="H30" s="57">
        <f>'Large Model with Outputs'!H30</f>
        <v>609.10613674432773</v>
      </c>
      <c r="I30" s="57">
        <f>'Large Model with Outputs'!I30</f>
        <v>606.06060606060612</v>
      </c>
      <c r="J30" s="57">
        <f>'Large Model with Outputs'!J30</f>
        <v>600</v>
      </c>
      <c r="K30" s="58" t="s">
        <v>48</v>
      </c>
      <c r="L30" s="58"/>
    </row>
    <row r="31" spans="1:24" x14ac:dyDescent="0.25">
      <c r="A31" s="51" t="s">
        <v>30</v>
      </c>
      <c r="B31" s="52">
        <f>'Large Model with Outputs'!B31</f>
        <v>1.164179104477612</v>
      </c>
      <c r="C31" s="52">
        <f>'Large Model with Outputs'!C31</f>
        <v>1.7333333333333334</v>
      </c>
      <c r="D31" s="52">
        <f>'Large Model with Outputs'!D31</f>
        <v>0.65789473684210531</v>
      </c>
      <c r="E31" s="52">
        <f>'Large Model with Outputs'!E31</f>
        <v>0.57407407407407407</v>
      </c>
      <c r="F31" s="52">
        <f>'Large Model with Outputs'!F31</f>
        <v>0.68518518518518523</v>
      </c>
      <c r="G31" s="52">
        <f>'Large Model with Outputs'!G31</f>
        <v>0.660377358490566</v>
      </c>
      <c r="H31" s="52">
        <f>'Large Model with Outputs'!H31</f>
        <v>0.52631578947368418</v>
      </c>
      <c r="I31" s="52">
        <f>'Large Model with Outputs'!I31</f>
        <v>0.660377358490566</v>
      </c>
      <c r="J31" s="52">
        <f>'Large Model with Outputs'!J31</f>
        <v>0.52631578947368418</v>
      </c>
      <c r="K31" s="53" t="s">
        <v>32</v>
      </c>
      <c r="L31" s="53"/>
    </row>
    <row r="32" spans="1:24" x14ac:dyDescent="0.25">
      <c r="A32" s="51" t="s">
        <v>46</v>
      </c>
      <c r="B32" s="54">
        <f>'Large Model with Outputs'!B32</f>
        <v>83.75</v>
      </c>
      <c r="C32" s="54">
        <f>'Large Model with Outputs'!C32</f>
        <v>130</v>
      </c>
      <c r="D32" s="54">
        <f>'Large Model with Outputs'!D32</f>
        <v>152</v>
      </c>
      <c r="E32" s="54">
        <f>'Large Model with Outputs'!E32</f>
        <v>54</v>
      </c>
      <c r="F32" s="54">
        <f>'Large Model with Outputs'!F32</f>
        <v>54</v>
      </c>
      <c r="G32" s="54">
        <f>'Large Model with Outputs'!G32</f>
        <v>212</v>
      </c>
      <c r="H32" s="54">
        <f>'Large Model with Outputs'!H32</f>
        <v>95</v>
      </c>
      <c r="I32" s="54">
        <f>'Large Model with Outputs'!I32</f>
        <v>106</v>
      </c>
      <c r="J32" s="54">
        <f>'Large Model with Outputs'!J32</f>
        <v>95</v>
      </c>
      <c r="K32" s="53" t="s">
        <v>25</v>
      </c>
      <c r="L32" s="53"/>
    </row>
    <row r="33" spans="1:13" x14ac:dyDescent="0.25">
      <c r="A33" s="51" t="s">
        <v>34</v>
      </c>
      <c r="B33" s="55">
        <f>'Large Model with Outputs'!B33</f>
        <v>5.75</v>
      </c>
      <c r="C33" s="55">
        <f>'Large Model with Outputs'!C33</f>
        <v>0</v>
      </c>
      <c r="D33" s="55">
        <f>'Large Model with Outputs'!D33</f>
        <v>127</v>
      </c>
      <c r="E33" s="55">
        <f>'Large Model with Outputs'!E33</f>
        <v>23</v>
      </c>
      <c r="F33" s="55">
        <f>'Large Model with Outputs'!F33</f>
        <v>17</v>
      </c>
      <c r="G33" s="55">
        <f>'Large Model with Outputs'!G33</f>
        <v>177</v>
      </c>
      <c r="H33" s="55">
        <f>'Large Model with Outputs'!H33</f>
        <v>45</v>
      </c>
      <c r="I33" s="55">
        <f>'Large Model with Outputs'!I33</f>
        <v>71</v>
      </c>
      <c r="J33" s="55">
        <f>'Large Model with Outputs'!J33</f>
        <v>45</v>
      </c>
      <c r="K33" s="53" t="s">
        <v>25</v>
      </c>
      <c r="L33" s="53"/>
    </row>
    <row r="34" spans="1:13" x14ac:dyDescent="0.25">
      <c r="A34" s="51" t="s">
        <v>33</v>
      </c>
      <c r="B34" s="55">
        <f>'Large Model with Outputs'!B34</f>
        <v>0</v>
      </c>
      <c r="C34" s="55">
        <f>'Large Model with Outputs'!C34</f>
        <v>92.5</v>
      </c>
      <c r="D34" s="55">
        <f>'Large Model with Outputs'!D34</f>
        <v>0</v>
      </c>
      <c r="E34" s="55">
        <f>'Large Model with Outputs'!E34</f>
        <v>0</v>
      </c>
      <c r="F34" s="55">
        <f>'Large Model with Outputs'!F34</f>
        <v>0</v>
      </c>
      <c r="G34" s="55">
        <f>'Large Model with Outputs'!G34</f>
        <v>0</v>
      </c>
      <c r="H34" s="55">
        <f>'Large Model with Outputs'!H34</f>
        <v>0</v>
      </c>
      <c r="I34" s="55">
        <f>'Large Model with Outputs'!I34</f>
        <v>0</v>
      </c>
      <c r="J34" s="55">
        <f>'Large Model with Outputs'!J34</f>
        <v>0</v>
      </c>
      <c r="K34" s="53" t="s">
        <v>25</v>
      </c>
      <c r="L34" s="53"/>
    </row>
    <row r="35" spans="1:13" ht="15.75" thickBot="1" x14ac:dyDescent="0.3">
      <c r="A35" s="44" t="s">
        <v>35</v>
      </c>
      <c r="B35" s="45">
        <f>'Large Model with Outputs'!B35</f>
        <v>1.3960194444444443</v>
      </c>
      <c r="C35" s="45">
        <f>'Large Model with Outputs'!C35</f>
        <v>3.8465555555555557</v>
      </c>
      <c r="D35" s="45">
        <f>'Large Model with Outputs'!D35</f>
        <v>0.70468888888888881</v>
      </c>
      <c r="E35" s="45">
        <f>'Large Model with Outputs'!E35</f>
        <v>0.4632</v>
      </c>
      <c r="F35" s="45">
        <f>'Large Model with Outputs'!F35</f>
        <v>0.4632</v>
      </c>
      <c r="G35" s="45">
        <f>'Large Model with Outputs'!G35</f>
        <v>0.55120000000000002</v>
      </c>
      <c r="H35" s="45">
        <f>'Large Model with Outputs'!H35</f>
        <v>0.99855555555555564</v>
      </c>
      <c r="I35" s="45">
        <f>'Large Model with Outputs'!I35</f>
        <v>0.67722222222222217</v>
      </c>
      <c r="J35" s="45">
        <f>'Large Model with Outputs'!J35</f>
        <v>0.99855555555555564</v>
      </c>
      <c r="K35" s="46">
        <f>'Large Model with Outputs'!K35</f>
        <v>10.099197222222219</v>
      </c>
      <c r="L35" s="47" t="s">
        <v>113</v>
      </c>
      <c r="M35" s="12"/>
    </row>
    <row r="36" spans="1:13" ht="15.75" thickTop="1" x14ac:dyDescent="0.25">
      <c r="A36" s="24" t="s">
        <v>36</v>
      </c>
      <c r="B36" s="31">
        <f>'Large Model with Outputs'!B36</f>
        <v>621.84964464700397</v>
      </c>
      <c r="C36" s="31">
        <f>'Large Model with Outputs'!C36</f>
        <v>6.2184964464700396</v>
      </c>
      <c r="D36" s="31">
        <f>'Large Model with Outputs'!D36</f>
        <v>621.53871982468047</v>
      </c>
      <c r="E36" s="31">
        <f>'Large Model with Outputs'!E36</f>
        <v>615.32333262643363</v>
      </c>
      <c r="F36" s="31">
        <f>'Large Model with Outputs'!F36</f>
        <v>6.1532333262643366</v>
      </c>
      <c r="G36" s="31">
        <f>'Large Model with Outputs'!G36</f>
        <v>615.32025600977045</v>
      </c>
      <c r="H36" s="31">
        <f>'Large Model with Outputs'!H36</f>
        <v>615.25872398416948</v>
      </c>
      <c r="I36" s="31">
        <f>'Large Model with Outputs'!I36</f>
        <v>609.10613674432773</v>
      </c>
      <c r="J36" s="31">
        <f>'Large Model with Outputs'!J36</f>
        <v>606.06060606060612</v>
      </c>
      <c r="K36" t="s">
        <v>49</v>
      </c>
      <c r="L36" s="14"/>
      <c r="M36" s="14"/>
    </row>
    <row r="37" spans="1:13" x14ac:dyDescent="0.25">
      <c r="A37" s="24" t="s">
        <v>37</v>
      </c>
      <c r="B37" s="32">
        <f>'Large Model with Outputs'!B37</f>
        <v>28800</v>
      </c>
      <c r="C37" s="32">
        <f>'Large Model with Outputs'!C37</f>
        <v>28800</v>
      </c>
      <c r="D37" s="32">
        <f>'Large Model with Outputs'!D37</f>
        <v>28800</v>
      </c>
      <c r="E37" s="32">
        <f>'Large Model with Outputs'!E37</f>
        <v>28800</v>
      </c>
      <c r="F37" s="32">
        <f>'Large Model with Outputs'!F37</f>
        <v>28800</v>
      </c>
      <c r="G37" s="32">
        <f>'Large Model with Outputs'!G37</f>
        <v>28800</v>
      </c>
      <c r="H37" s="32">
        <f>'Large Model with Outputs'!H37</f>
        <v>28800</v>
      </c>
      <c r="I37" s="32">
        <f>'Large Model with Outputs'!I37</f>
        <v>28800</v>
      </c>
      <c r="J37" s="32">
        <f>'Large Model with Outputs'!J37</f>
        <v>28800</v>
      </c>
      <c r="K37" t="s">
        <v>38</v>
      </c>
    </row>
    <row r="38" spans="1:13" x14ac:dyDescent="0.25">
      <c r="A38" s="24" t="s">
        <v>39</v>
      </c>
      <c r="B38" s="33">
        <f>'Large Model with Outputs'!B38</f>
        <v>0.9830749537761343</v>
      </c>
      <c r="C38" s="33">
        <f>'Large Model with Outputs'!C38</f>
        <v>0.9830749537761343</v>
      </c>
      <c r="D38" s="33">
        <f>'Large Model with Outputs'!D38</f>
        <v>0.99945631427348536</v>
      </c>
      <c r="E38" s="33">
        <f>'Large Model with Outputs'!E38</f>
        <v>0.99502487562189057</v>
      </c>
      <c r="F38" s="33">
        <f>'Large Model with Outputs'!F38</f>
        <v>0.99502487562189057</v>
      </c>
      <c r="G38" s="33">
        <f>'Large Model with Outputs'!G38</f>
        <v>0.98966351440510225</v>
      </c>
      <c r="H38" s="33">
        <f>'Large Model with Outputs'!H38</f>
        <v>0.99981677740383224</v>
      </c>
      <c r="I38" s="33">
        <f>'Large Model with Outputs'!I38</f>
        <v>0.98966351440510225</v>
      </c>
      <c r="J38" s="33">
        <f>'Large Model with Outputs'!J38</f>
        <v>0.99981677740383224</v>
      </c>
      <c r="L38" s="12"/>
      <c r="M38" s="12"/>
    </row>
    <row r="39" spans="1:13" x14ac:dyDescent="0.25">
      <c r="A39" s="60" t="s">
        <v>40</v>
      </c>
      <c r="B39" s="61">
        <f>'Large Model with Outputs'!B39</f>
        <v>0.45986578207663809</v>
      </c>
      <c r="C39" s="61">
        <f>'Large Model with Outputs'!C39</f>
        <v>7.1382151247716963E-3</v>
      </c>
      <c r="D39" s="61">
        <f>'Large Model with Outputs'!D39</f>
        <v>3.2821276894965248</v>
      </c>
      <c r="E39" s="61">
        <f>'Large Model with Outputs'!E39</f>
        <v>1.1594999049179358</v>
      </c>
      <c r="F39" s="61">
        <f>'Large Model with Outputs'!F39</f>
        <v>1.159499904917936E-2</v>
      </c>
      <c r="G39" s="61">
        <f>'Large Model with Outputs'!G39</f>
        <v>1.1441870664818719</v>
      </c>
      <c r="H39" s="61">
        <f>'Large Model with Outputs'!H39</f>
        <v>2.0298711814099697</v>
      </c>
      <c r="I39" s="61">
        <f>'Large Model with Outputs'!I39</f>
        <v>1.1326319212974714</v>
      </c>
      <c r="J39" s="61">
        <f>'Large Model with Outputs'!J39</f>
        <v>1.9995246072478907</v>
      </c>
      <c r="K39" s="62"/>
      <c r="L39" s="63"/>
      <c r="M39" s="13"/>
    </row>
    <row r="40" spans="1:13" x14ac:dyDescent="0.25">
      <c r="A40" s="60" t="s">
        <v>41</v>
      </c>
      <c r="B40" s="64">
        <f>'Large Model with Outputs'!B40</f>
        <v>1</v>
      </c>
      <c r="C40" s="64">
        <f>'Large Model with Outputs'!C40</f>
        <v>1</v>
      </c>
      <c r="D40" s="64">
        <f>'Large Model with Outputs'!D40</f>
        <v>4</v>
      </c>
      <c r="E40" s="64">
        <f>'Large Model with Outputs'!E40</f>
        <v>2</v>
      </c>
      <c r="F40" s="64">
        <f>'Large Model with Outputs'!F40</f>
        <v>1</v>
      </c>
      <c r="G40" s="64">
        <f>'Large Model with Outputs'!G40</f>
        <v>2</v>
      </c>
      <c r="H40" s="64">
        <f>'Large Model with Outputs'!H40</f>
        <v>3</v>
      </c>
      <c r="I40" s="64">
        <f>'Large Model with Outputs'!I40</f>
        <v>2</v>
      </c>
      <c r="J40" s="64">
        <f>'Large Model with Outputs'!J40</f>
        <v>2</v>
      </c>
      <c r="K40" s="65"/>
      <c r="L40" s="66" t="s">
        <v>114</v>
      </c>
      <c r="M40" s="14"/>
    </row>
    <row r="41" spans="1:13" x14ac:dyDescent="0.25">
      <c r="A41" s="60" t="s">
        <v>43</v>
      </c>
      <c r="B41" s="64">
        <f>'Large Model with Outputs'!B41</f>
        <v>28</v>
      </c>
      <c r="C41" s="64">
        <f>'Large Model with Outputs'!C41</f>
        <v>28</v>
      </c>
      <c r="D41" s="64">
        <f>'Large Model with Outputs'!D41</f>
        <v>96</v>
      </c>
      <c r="E41" s="64">
        <f>'Large Model with Outputs'!E41</f>
        <v>72</v>
      </c>
      <c r="F41" s="64">
        <f>'Large Model with Outputs'!F41</f>
        <v>36</v>
      </c>
      <c r="G41" s="64">
        <f>'Large Model with Outputs'!G41</f>
        <v>64</v>
      </c>
      <c r="H41" s="64">
        <f>'Large Model with Outputs'!H41</f>
        <v>180</v>
      </c>
      <c r="I41" s="64">
        <f>'Large Model with Outputs'!I41</f>
        <v>48</v>
      </c>
      <c r="J41" s="64">
        <f>'Large Model with Outputs'!J41</f>
        <v>120</v>
      </c>
      <c r="K41" s="65" t="s">
        <v>42</v>
      </c>
      <c r="L41" s="85">
        <f>'Large Model with Outputs'!L41</f>
        <v>672</v>
      </c>
      <c r="M41" s="15"/>
    </row>
    <row r="42" spans="1:13" x14ac:dyDescent="0.25">
      <c r="A42" s="67" t="s">
        <v>44</v>
      </c>
      <c r="B42" s="68">
        <f>'Large Model with Outputs'!B42</f>
        <v>28</v>
      </c>
      <c r="C42" s="68">
        <f>'Large Model with Outputs'!C42</f>
        <v>28</v>
      </c>
      <c r="D42" s="68">
        <f>'Large Model with Outputs'!D42</f>
        <v>96</v>
      </c>
      <c r="E42" s="68">
        <f>'Large Model with Outputs'!E42</f>
        <v>72</v>
      </c>
      <c r="F42" s="68">
        <f>'Large Model with Outputs'!F42</f>
        <v>36</v>
      </c>
      <c r="G42" s="68">
        <f>'Large Model with Outputs'!G42</f>
        <v>64</v>
      </c>
      <c r="H42" s="68">
        <f>'Large Model with Outputs'!H42</f>
        <v>300</v>
      </c>
      <c r="I42" s="68">
        <f>'Large Model with Outputs'!I42</f>
        <v>48</v>
      </c>
      <c r="J42" s="68">
        <f>'Large Model with Outputs'!J42</f>
        <v>0</v>
      </c>
      <c r="K42" s="69" t="s">
        <v>42</v>
      </c>
      <c r="L42" s="86">
        <f>'Large Model with Outputs'!L42</f>
        <v>672</v>
      </c>
      <c r="M42" s="13"/>
    </row>
    <row r="43" spans="1:13" s="29" customFormat="1" ht="15.75" thickBot="1" x14ac:dyDescent="0.3">
      <c r="A43" s="70" t="s">
        <v>116</v>
      </c>
      <c r="B43" s="71">
        <f>'Large Model with Outputs'!B43</f>
        <v>1.4101206509539839</v>
      </c>
      <c r="C43" s="71">
        <f>'Large Model with Outputs'!C43</f>
        <v>4.0490058479532172</v>
      </c>
      <c r="D43" s="71">
        <f>'Large Model with Outputs'!D43</f>
        <v>0.71180695847362507</v>
      </c>
      <c r="E43" s="71">
        <f>'Large Model with Outputs'!E43</f>
        <v>0.46787878787878784</v>
      </c>
      <c r="F43" s="71">
        <f>'Large Model with Outputs'!F43</f>
        <v>0.46343171585792897</v>
      </c>
      <c r="G43" s="71">
        <f>'Large Model with Outputs'!G43</f>
        <v>0.55125512551255129</v>
      </c>
      <c r="H43" s="71">
        <f>'Large Model with Outputs'!H43</f>
        <v>1.0086419753086422</v>
      </c>
      <c r="I43" s="71">
        <f>'Large Model with Outputs'!I43</f>
        <v>0.6806253489670574</v>
      </c>
      <c r="J43" s="71">
        <f>'Large Model with Outputs'!J43</f>
        <v>1.0086419753086422</v>
      </c>
      <c r="K43" s="72">
        <f>SUM(B43:J43)+K$2</f>
        <v>10.351408386214436</v>
      </c>
      <c r="L43" s="73" t="s">
        <v>115</v>
      </c>
    </row>
    <row r="44" spans="1:13" ht="16.5" thickTop="1" thickBot="1" x14ac:dyDescent="0.3">
      <c r="A44" s="48" t="s">
        <v>45</v>
      </c>
      <c r="B44" s="49">
        <f>'Large Model with Outputs'!B44</f>
        <v>10.351408386214436</v>
      </c>
      <c r="C44" s="50" t="s">
        <v>47</v>
      </c>
      <c r="D44" s="89"/>
      <c r="E44" s="89"/>
      <c r="F44" s="89"/>
      <c r="G44" s="89"/>
      <c r="H44" s="89"/>
      <c r="I44" s="89"/>
      <c r="J44" s="89"/>
      <c r="K44" s="89"/>
      <c r="L44" s="89"/>
    </row>
    <row r="45" spans="1:13" ht="15.75" thickTop="1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</sheetData>
  <mergeCells count="9">
    <mergeCell ref="AI5:AJ6"/>
    <mergeCell ref="O11:P12"/>
    <mergeCell ref="V11:W12"/>
    <mergeCell ref="O5:P6"/>
    <mergeCell ref="S5:T6"/>
    <mergeCell ref="V5:W6"/>
    <mergeCell ref="Z5:AA6"/>
    <mergeCell ref="AC5:AD6"/>
    <mergeCell ref="AF5:AG6"/>
  </mergeCells>
  <printOptions horizontalCentered="1" verticalCentered="1"/>
  <pageMargins left="0.45" right="0.45" top="0.5" bottom="0.5" header="0.3" footer="0.3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5"/>
  <sheetViews>
    <sheetView tabSelected="1" workbookViewId="0">
      <selection activeCell="AQ10" sqref="AQ10"/>
    </sheetView>
  </sheetViews>
  <sheetFormatPr defaultRowHeight="15" x14ac:dyDescent="0.25"/>
  <cols>
    <col min="1" max="1" width="26.42578125" bestFit="1" customWidth="1"/>
    <col min="2" max="2" width="9.85546875" bestFit="1" customWidth="1"/>
    <col min="3" max="10" width="9.85546875" customWidth="1"/>
    <col min="11" max="11" width="9.7109375" customWidth="1"/>
    <col min="12" max="12" width="20" bestFit="1" customWidth="1"/>
    <col min="13" max="13" width="3.28515625" hidden="1" customWidth="1"/>
    <col min="14" max="14" width="9.5703125" hidden="1" customWidth="1"/>
    <col min="15" max="16" width="6.28515625" hidden="1" customWidth="1"/>
    <col min="17" max="17" width="9.5703125" hidden="1" customWidth="1"/>
    <col min="18" max="18" width="0" hidden="1" customWidth="1"/>
    <col min="19" max="19" width="6.28515625" hidden="1" customWidth="1"/>
    <col min="20" max="20" width="7.140625" hidden="1" customWidth="1"/>
    <col min="21" max="21" width="11.5703125" hidden="1" customWidth="1"/>
    <col min="22" max="23" width="6.28515625" hidden="1" customWidth="1"/>
    <col min="24" max="24" width="9.140625" hidden="1" customWidth="1"/>
    <col min="25" max="25" width="0" hidden="1" customWidth="1"/>
    <col min="26" max="27" width="6.28515625" hidden="1" customWidth="1"/>
    <col min="28" max="28" width="0" hidden="1" customWidth="1"/>
    <col min="29" max="29" width="6.28515625" hidden="1" customWidth="1"/>
    <col min="30" max="30" width="7" hidden="1" customWidth="1"/>
    <col min="31" max="31" width="0" hidden="1" customWidth="1"/>
    <col min="32" max="33" width="6.28515625" hidden="1" customWidth="1"/>
    <col min="34" max="34" width="0" hidden="1" customWidth="1"/>
    <col min="35" max="35" width="6.28515625" hidden="1" customWidth="1"/>
    <col min="36" max="36" width="7.42578125" hidden="1" customWidth="1"/>
    <col min="37" max="38" width="0" hidden="1" customWidth="1"/>
  </cols>
  <sheetData>
    <row r="1" spans="1:37" x14ac:dyDescent="0.25">
      <c r="A1" s="83" t="s">
        <v>64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19" t="s">
        <v>65</v>
      </c>
    </row>
    <row r="2" spans="1:37" x14ac:dyDescent="0.25">
      <c r="A2" s="34" t="s">
        <v>85</v>
      </c>
      <c r="B2" s="87">
        <v>600</v>
      </c>
      <c r="C2" s="36"/>
      <c r="D2" s="36"/>
      <c r="E2" s="34" t="s">
        <v>83</v>
      </c>
      <c r="F2" s="37">
        <v>0</v>
      </c>
      <c r="G2" s="36"/>
      <c r="H2" s="36"/>
      <c r="I2" s="36"/>
      <c r="J2" s="34" t="s">
        <v>112</v>
      </c>
      <c r="K2" s="38">
        <v>0</v>
      </c>
      <c r="L2" s="36"/>
      <c r="M2" s="30"/>
    </row>
    <row r="3" spans="1:37" ht="18" x14ac:dyDescent="0.35">
      <c r="A3" s="34" t="s">
        <v>82</v>
      </c>
      <c r="B3" s="37">
        <v>1</v>
      </c>
      <c r="C3" s="36"/>
      <c r="D3" s="36"/>
      <c r="E3" s="34" t="s">
        <v>86</v>
      </c>
      <c r="F3" s="37">
        <v>15</v>
      </c>
      <c r="G3" s="36" t="s">
        <v>10</v>
      </c>
      <c r="H3" s="36"/>
      <c r="I3" s="36"/>
      <c r="J3" s="34"/>
      <c r="K3" s="39"/>
      <c r="L3" s="36"/>
      <c r="M3" s="30"/>
      <c r="N3" s="4" t="s">
        <v>111</v>
      </c>
      <c r="Q3" s="4" t="s">
        <v>91</v>
      </c>
      <c r="R3" s="4" t="s">
        <v>93</v>
      </c>
      <c r="U3" s="4" t="s">
        <v>96</v>
      </c>
      <c r="X3" s="4" t="s">
        <v>101</v>
      </c>
      <c r="Y3" s="4" t="s">
        <v>102</v>
      </c>
      <c r="AB3" s="4" t="s">
        <v>105</v>
      </c>
      <c r="AE3" s="4" t="s">
        <v>107</v>
      </c>
      <c r="AH3" s="4" t="s">
        <v>109</v>
      </c>
      <c r="AK3" s="4" t="s">
        <v>110</v>
      </c>
    </row>
    <row r="4" spans="1:37" x14ac:dyDescent="0.25">
      <c r="A4" s="34" t="s">
        <v>18</v>
      </c>
      <c r="B4" s="88">
        <v>1</v>
      </c>
      <c r="C4" s="36"/>
      <c r="D4" s="36"/>
      <c r="E4" s="34" t="s">
        <v>84</v>
      </c>
      <c r="F4" s="37">
        <v>0</v>
      </c>
      <c r="G4" s="36"/>
      <c r="H4" s="36"/>
      <c r="I4" s="36"/>
      <c r="J4" s="34"/>
      <c r="K4" s="40"/>
      <c r="L4" s="36"/>
      <c r="M4" s="30"/>
      <c r="N4" s="28">
        <f>B29</f>
        <v>621.84964464700397</v>
      </c>
      <c r="O4" s="28"/>
      <c r="P4" s="28"/>
      <c r="Q4" s="28">
        <f>B30</f>
        <v>615.63114820053397</v>
      </c>
      <c r="R4" s="28">
        <f>D29</f>
        <v>621.53871982468047</v>
      </c>
      <c r="S4" s="28"/>
      <c r="T4" s="28"/>
      <c r="U4" s="28">
        <f>D30</f>
        <v>615.32333262643363</v>
      </c>
      <c r="V4" s="28"/>
      <c r="W4" s="28"/>
      <c r="X4" s="28">
        <f>E30</f>
        <v>609.17009930016934</v>
      </c>
      <c r="Y4" s="28">
        <f>G29</f>
        <v>615.32025600977045</v>
      </c>
      <c r="Z4" s="28"/>
      <c r="AA4" s="28"/>
      <c r="AB4" s="28">
        <f>G30</f>
        <v>615.25872398416948</v>
      </c>
      <c r="AC4" s="28"/>
      <c r="AD4" s="28"/>
      <c r="AE4" s="28">
        <f>H30</f>
        <v>609.10613674432773</v>
      </c>
      <c r="AF4" s="28"/>
      <c r="AG4" s="28"/>
      <c r="AH4" s="28">
        <f>I30</f>
        <v>606.06060606060612</v>
      </c>
      <c r="AI4" s="28"/>
      <c r="AJ4" s="28"/>
      <c r="AK4" s="28">
        <f>J30</f>
        <v>600</v>
      </c>
    </row>
    <row r="5" spans="1:37" ht="15" customHeight="1" x14ac:dyDescent="0.25">
      <c r="A5" s="34" t="s">
        <v>19</v>
      </c>
      <c r="B5" s="88">
        <v>8</v>
      </c>
      <c r="C5" s="36"/>
      <c r="D5" s="36"/>
      <c r="E5" s="34" t="s">
        <v>87</v>
      </c>
      <c r="F5" s="37">
        <v>30</v>
      </c>
      <c r="G5" s="36" t="s">
        <v>10</v>
      </c>
      <c r="H5" s="36"/>
      <c r="I5" s="36"/>
      <c r="J5" s="34"/>
      <c r="K5" s="39"/>
      <c r="L5" s="36"/>
      <c r="M5" s="30"/>
      <c r="N5" s="90"/>
      <c r="O5" s="121" t="s">
        <v>75</v>
      </c>
      <c r="P5" s="121"/>
      <c r="Q5" s="90"/>
      <c r="R5" s="90"/>
      <c r="S5" s="121" t="s">
        <v>95</v>
      </c>
      <c r="T5" s="121"/>
      <c r="U5" s="90"/>
      <c r="V5" s="121" t="s">
        <v>88</v>
      </c>
      <c r="W5" s="121"/>
      <c r="X5" s="90"/>
      <c r="Y5" s="90"/>
      <c r="Z5" s="121" t="s">
        <v>79</v>
      </c>
      <c r="AA5" s="121"/>
      <c r="AB5" s="90"/>
      <c r="AC5" s="121" t="s">
        <v>80</v>
      </c>
      <c r="AD5" s="121"/>
      <c r="AE5" s="91"/>
      <c r="AF5" s="121" t="s">
        <v>81</v>
      </c>
      <c r="AG5" s="121"/>
      <c r="AH5" s="90"/>
      <c r="AI5" s="121" t="s">
        <v>80</v>
      </c>
      <c r="AJ5" s="121"/>
    </row>
    <row r="6" spans="1:37" x14ac:dyDescent="0.25">
      <c r="A6" s="75"/>
      <c r="B6" s="76"/>
      <c r="C6" s="77"/>
      <c r="D6" s="77"/>
      <c r="E6" s="78"/>
      <c r="F6" s="76"/>
      <c r="G6" s="77"/>
      <c r="H6" s="77"/>
      <c r="I6" s="77"/>
      <c r="J6" s="78"/>
      <c r="K6" s="79"/>
      <c r="L6" s="77"/>
      <c r="M6" s="30"/>
      <c r="N6" s="90"/>
      <c r="O6" s="121"/>
      <c r="P6" s="121"/>
      <c r="Q6" s="90"/>
      <c r="R6" s="90"/>
      <c r="S6" s="121"/>
      <c r="T6" s="121"/>
      <c r="U6" s="90"/>
      <c r="V6" s="121"/>
      <c r="W6" s="121"/>
      <c r="X6" s="90"/>
      <c r="Y6" s="90"/>
      <c r="Z6" s="121"/>
      <c r="AA6" s="121"/>
      <c r="AB6" s="90"/>
      <c r="AC6" s="121"/>
      <c r="AD6" s="121"/>
      <c r="AE6" s="91"/>
      <c r="AF6" s="121"/>
      <c r="AG6" s="121"/>
      <c r="AH6" s="90"/>
      <c r="AI6" s="121"/>
      <c r="AJ6" s="121"/>
    </row>
    <row r="7" spans="1:37" ht="18" x14ac:dyDescent="0.35">
      <c r="A7" s="75"/>
      <c r="B7" s="84" t="s">
        <v>76</v>
      </c>
      <c r="C7" s="84" t="s">
        <v>69</v>
      </c>
      <c r="D7" s="84" t="s">
        <v>67</v>
      </c>
      <c r="E7" s="84" t="s">
        <v>68</v>
      </c>
      <c r="F7" s="84" t="s">
        <v>70</v>
      </c>
      <c r="G7" s="84" t="s">
        <v>71</v>
      </c>
      <c r="H7" s="84" t="s">
        <v>72</v>
      </c>
      <c r="I7" s="84" t="s">
        <v>73</v>
      </c>
      <c r="J7" s="84" t="s">
        <v>72</v>
      </c>
      <c r="K7" s="77"/>
      <c r="L7" s="77"/>
      <c r="M7" s="30"/>
      <c r="N7" s="4" t="s">
        <v>89</v>
      </c>
      <c r="O7" s="4"/>
      <c r="P7" s="4"/>
      <c r="Q7" s="4"/>
      <c r="R7" s="4"/>
      <c r="S7" s="4"/>
      <c r="T7" s="4"/>
      <c r="U7" s="4" t="s">
        <v>97</v>
      </c>
      <c r="V7" s="4"/>
      <c r="W7" s="4"/>
      <c r="X7" s="4"/>
      <c r="Y7" s="4"/>
      <c r="Z7" s="4"/>
      <c r="AA7" s="4"/>
      <c r="AC7" s="4"/>
      <c r="AD7" s="4"/>
      <c r="AF7" s="4"/>
      <c r="AG7" s="4"/>
      <c r="AI7" s="4"/>
      <c r="AJ7" s="4"/>
    </row>
    <row r="8" spans="1:37" ht="18" x14ac:dyDescent="0.35">
      <c r="A8" s="34" t="s">
        <v>4</v>
      </c>
      <c r="B8" s="41">
        <v>0.01</v>
      </c>
      <c r="C8" s="41">
        <v>0.05</v>
      </c>
      <c r="D8" s="41">
        <v>0.01</v>
      </c>
      <c r="E8" s="41">
        <v>0.01</v>
      </c>
      <c r="F8" s="41">
        <v>5.0000000000000001E-4</v>
      </c>
      <c r="G8" s="41">
        <v>1E-4</v>
      </c>
      <c r="H8" s="41">
        <v>0.01</v>
      </c>
      <c r="I8" s="41">
        <v>5.0000000000000001E-3</v>
      </c>
      <c r="J8" s="42">
        <v>0.01</v>
      </c>
      <c r="K8" s="36"/>
      <c r="L8" s="36"/>
      <c r="M8" s="30"/>
      <c r="N8" s="22">
        <f>B8</f>
        <v>0.01</v>
      </c>
      <c r="O8" s="4"/>
      <c r="P8" s="4"/>
      <c r="Q8" s="27" t="s">
        <v>92</v>
      </c>
      <c r="R8" s="4"/>
      <c r="S8" s="4"/>
      <c r="T8" s="4"/>
      <c r="U8" s="17">
        <f>E8</f>
        <v>0.01</v>
      </c>
      <c r="V8" s="4"/>
      <c r="W8" s="4"/>
      <c r="X8" s="27" t="s">
        <v>103</v>
      </c>
      <c r="Y8" s="4"/>
      <c r="Z8" s="4"/>
      <c r="AA8" s="4"/>
      <c r="AC8" s="4"/>
      <c r="AD8" s="4"/>
      <c r="AF8" s="4"/>
      <c r="AG8" s="4"/>
      <c r="AI8" s="4"/>
      <c r="AJ8" s="4"/>
    </row>
    <row r="9" spans="1:37" ht="18" x14ac:dyDescent="0.35">
      <c r="A9" s="34" t="s">
        <v>5</v>
      </c>
      <c r="B9" s="37">
        <v>8</v>
      </c>
      <c r="C9" s="37">
        <v>8</v>
      </c>
      <c r="D9" s="37">
        <v>4</v>
      </c>
      <c r="E9" s="37">
        <v>6</v>
      </c>
      <c r="F9" s="37">
        <v>6</v>
      </c>
      <c r="G9" s="37">
        <v>8</v>
      </c>
      <c r="H9" s="37">
        <v>20</v>
      </c>
      <c r="I9" s="37">
        <v>6</v>
      </c>
      <c r="J9" s="37">
        <v>20</v>
      </c>
      <c r="K9" s="36" t="s">
        <v>12</v>
      </c>
      <c r="L9" s="36"/>
      <c r="M9" s="30"/>
      <c r="N9" s="4" t="s">
        <v>90</v>
      </c>
      <c r="O9" s="4"/>
      <c r="P9" s="4"/>
      <c r="Q9" s="25">
        <f>C30</f>
        <v>5.907571624146537</v>
      </c>
      <c r="R9" s="4"/>
      <c r="S9" s="4"/>
      <c r="T9" s="4"/>
      <c r="U9" s="4" t="s">
        <v>98</v>
      </c>
      <c r="V9" s="4"/>
      <c r="W9" s="4"/>
      <c r="X9" s="25">
        <f>F30</f>
        <v>6.1501567096012044</v>
      </c>
      <c r="Y9" s="4"/>
      <c r="Z9" s="4"/>
      <c r="AA9" s="4"/>
      <c r="AB9" s="4"/>
      <c r="AC9" s="4"/>
      <c r="AD9" s="4"/>
      <c r="AF9" s="4"/>
      <c r="AG9" s="4"/>
      <c r="AH9" s="4"/>
      <c r="AI9" s="4"/>
      <c r="AJ9" s="4"/>
    </row>
    <row r="10" spans="1:37" ht="15.75" thickBot="1" x14ac:dyDescent="0.3">
      <c r="A10" s="34" t="s">
        <v>6</v>
      </c>
      <c r="B10" s="37">
        <v>3.5</v>
      </c>
      <c r="C10" s="37">
        <v>3.5</v>
      </c>
      <c r="D10" s="37">
        <v>6</v>
      </c>
      <c r="E10" s="37">
        <v>6</v>
      </c>
      <c r="F10" s="37">
        <v>6</v>
      </c>
      <c r="G10" s="37">
        <v>4</v>
      </c>
      <c r="H10" s="37">
        <v>3</v>
      </c>
      <c r="I10" s="37">
        <v>4</v>
      </c>
      <c r="J10" s="37">
        <v>3</v>
      </c>
      <c r="K10" s="36" t="s">
        <v>12</v>
      </c>
      <c r="L10" s="36"/>
      <c r="M10" s="30"/>
      <c r="N10" s="26">
        <f>C29</f>
        <v>6.2184964464700396</v>
      </c>
      <c r="O10" s="4"/>
      <c r="P10" s="4"/>
      <c r="Q10" s="4"/>
      <c r="R10" s="4"/>
      <c r="S10" s="4"/>
      <c r="T10" s="4"/>
      <c r="U10" s="26">
        <f>F29</f>
        <v>6.1532333262643366</v>
      </c>
      <c r="V10" s="4"/>
      <c r="W10" s="4"/>
      <c r="X10" s="4"/>
      <c r="Y10" s="4"/>
      <c r="Z10" s="4"/>
      <c r="AA10" s="4"/>
      <c r="AB10" s="4"/>
      <c r="AC10" s="4"/>
      <c r="AD10" s="4"/>
      <c r="AF10" s="4"/>
      <c r="AG10" s="4"/>
      <c r="AH10" s="4"/>
      <c r="AI10" s="4"/>
      <c r="AJ10" s="4"/>
    </row>
    <row r="11" spans="1:37" ht="18" x14ac:dyDescent="0.35">
      <c r="A11" s="34" t="s">
        <v>7</v>
      </c>
      <c r="B11" s="43">
        <v>4</v>
      </c>
      <c r="C11" s="43">
        <v>4</v>
      </c>
      <c r="D11" s="43">
        <v>1</v>
      </c>
      <c r="E11" s="43">
        <v>1</v>
      </c>
      <c r="F11" s="43">
        <v>1</v>
      </c>
      <c r="G11" s="43">
        <v>4</v>
      </c>
      <c r="H11" s="43">
        <v>1</v>
      </c>
      <c r="I11" s="43">
        <v>2</v>
      </c>
      <c r="J11" s="43">
        <v>1</v>
      </c>
      <c r="K11" s="36"/>
      <c r="L11" s="36"/>
      <c r="M11" s="30"/>
      <c r="N11" s="90"/>
      <c r="O11" s="121" t="s">
        <v>77</v>
      </c>
      <c r="P11" s="121"/>
      <c r="Q11" s="4"/>
      <c r="R11" s="4"/>
      <c r="S11" s="4" t="s">
        <v>94</v>
      </c>
      <c r="T11" s="23">
        <f>D8</f>
        <v>0.01</v>
      </c>
      <c r="U11" s="4"/>
      <c r="V11" s="122" t="s">
        <v>78</v>
      </c>
      <c r="W11" s="123"/>
      <c r="X11" s="4"/>
      <c r="Y11" s="4"/>
      <c r="Z11" s="4" t="s">
        <v>104</v>
      </c>
      <c r="AA11" s="23">
        <f>G8</f>
        <v>1E-4</v>
      </c>
      <c r="AB11" s="4"/>
      <c r="AC11" s="4" t="s">
        <v>106</v>
      </c>
      <c r="AD11" s="23">
        <f>H8</f>
        <v>0.01</v>
      </c>
      <c r="AF11" s="4" t="s">
        <v>108</v>
      </c>
      <c r="AG11" s="23">
        <f>I8</f>
        <v>5.0000000000000001E-3</v>
      </c>
      <c r="AH11" s="4"/>
      <c r="AI11" s="4" t="s">
        <v>106</v>
      </c>
      <c r="AJ11" s="23">
        <f>J8</f>
        <v>0.01</v>
      </c>
    </row>
    <row r="12" spans="1:37" ht="15.75" thickBot="1" x14ac:dyDescent="0.3">
      <c r="A12" s="34" t="s">
        <v>9</v>
      </c>
      <c r="B12" s="35">
        <v>103680</v>
      </c>
      <c r="C12" s="35">
        <v>103680</v>
      </c>
      <c r="D12" s="35">
        <v>8640</v>
      </c>
      <c r="E12" s="35">
        <v>1440</v>
      </c>
      <c r="F12" s="35">
        <v>1440</v>
      </c>
      <c r="G12" s="35">
        <v>7200</v>
      </c>
      <c r="H12" s="35">
        <v>311040</v>
      </c>
      <c r="I12" s="35">
        <v>7200</v>
      </c>
      <c r="J12" s="35">
        <v>311040</v>
      </c>
      <c r="K12" s="36" t="s">
        <v>10</v>
      </c>
      <c r="L12" s="36"/>
      <c r="M12" s="30"/>
      <c r="N12" s="90"/>
      <c r="O12" s="121"/>
      <c r="P12" s="121"/>
      <c r="S12" s="4"/>
      <c r="T12" s="25">
        <f>D29*D8</f>
        <v>6.2153871982468045</v>
      </c>
      <c r="U12" s="4"/>
      <c r="V12" s="124"/>
      <c r="W12" s="125"/>
      <c r="Z12" s="4"/>
      <c r="AA12" s="25">
        <f>G29*G8</f>
        <v>6.153202560097705E-2</v>
      </c>
      <c r="AB12" s="4"/>
      <c r="AC12" s="4"/>
      <c r="AD12" s="25">
        <f>H29*H8</f>
        <v>6.1525872398416945</v>
      </c>
      <c r="AF12" s="4"/>
      <c r="AG12" s="25">
        <f>I29*I8</f>
        <v>3.0455306837216387</v>
      </c>
      <c r="AH12" s="4"/>
      <c r="AI12" s="4"/>
      <c r="AJ12" s="25">
        <f>J29*J8</f>
        <v>6.0606060606060614</v>
      </c>
    </row>
    <row r="13" spans="1:37" x14ac:dyDescent="0.25">
      <c r="A13" s="34" t="s">
        <v>13</v>
      </c>
      <c r="B13" s="37">
        <v>240</v>
      </c>
      <c r="C13" s="37">
        <v>240</v>
      </c>
      <c r="D13" s="37">
        <v>4</v>
      </c>
      <c r="E13" s="37">
        <v>2</v>
      </c>
      <c r="F13" s="37">
        <v>2</v>
      </c>
      <c r="G13" s="37">
        <v>1</v>
      </c>
      <c r="H13" s="37">
        <v>12</v>
      </c>
      <c r="I13" s="37">
        <v>1</v>
      </c>
      <c r="J13" s="37">
        <v>12</v>
      </c>
      <c r="K13" s="36" t="s">
        <v>10</v>
      </c>
      <c r="L13" s="36"/>
      <c r="M13" s="30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37" x14ac:dyDescent="0.25">
      <c r="A14" s="34" t="s">
        <v>14</v>
      </c>
      <c r="B14" s="37">
        <v>336</v>
      </c>
      <c r="C14" s="37">
        <v>336</v>
      </c>
      <c r="D14" s="37">
        <v>0.5</v>
      </c>
      <c r="E14" s="37">
        <v>5</v>
      </c>
      <c r="F14" s="37">
        <v>5</v>
      </c>
      <c r="G14" s="37">
        <v>72</v>
      </c>
      <c r="H14" s="37">
        <v>26</v>
      </c>
      <c r="I14" s="37">
        <v>72</v>
      </c>
      <c r="J14" s="37">
        <v>26</v>
      </c>
      <c r="K14" s="36" t="s">
        <v>10</v>
      </c>
      <c r="L14" s="36"/>
      <c r="M14" s="30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37" x14ac:dyDescent="0.25">
      <c r="A15" s="34" t="s">
        <v>15</v>
      </c>
      <c r="B15" s="37">
        <v>1104</v>
      </c>
      <c r="C15" s="37">
        <v>1104</v>
      </c>
      <c r="D15" s="37">
        <v>0</v>
      </c>
      <c r="E15" s="37">
        <v>0</v>
      </c>
      <c r="F15" s="37">
        <v>0</v>
      </c>
      <c r="G15" s="37">
        <v>2</v>
      </c>
      <c r="H15" s="37">
        <v>4</v>
      </c>
      <c r="I15" s="37">
        <v>2</v>
      </c>
      <c r="J15" s="37">
        <v>4</v>
      </c>
      <c r="K15" s="36" t="s">
        <v>10</v>
      </c>
      <c r="L15" s="36"/>
      <c r="M15" s="30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37" ht="18" x14ac:dyDescent="0.35">
      <c r="A16" s="34" t="s">
        <v>16</v>
      </c>
      <c r="B16" s="37">
        <v>105</v>
      </c>
      <c r="C16" s="37">
        <v>105</v>
      </c>
      <c r="D16" s="37">
        <v>0.2</v>
      </c>
      <c r="E16" s="37">
        <v>0.2</v>
      </c>
      <c r="F16" s="37">
        <v>0.2</v>
      </c>
      <c r="G16" s="37">
        <v>0.2</v>
      </c>
      <c r="H16" s="37">
        <v>15</v>
      </c>
      <c r="I16" s="37">
        <v>0.2</v>
      </c>
      <c r="J16" s="37">
        <v>15</v>
      </c>
      <c r="K16" s="36" t="s">
        <v>10</v>
      </c>
      <c r="L16" s="36"/>
      <c r="M16" s="30"/>
      <c r="O16" s="4" t="s">
        <v>100</v>
      </c>
      <c r="P16" s="23">
        <f>C8</f>
        <v>0.05</v>
      </c>
      <c r="V16" s="4" t="s">
        <v>99</v>
      </c>
      <c r="W16" s="23">
        <f>F8</f>
        <v>5.0000000000000001E-4</v>
      </c>
      <c r="X16" s="18"/>
    </row>
    <row r="17" spans="1:24" x14ac:dyDescent="0.25">
      <c r="A17" s="21"/>
      <c r="L17" s="30"/>
      <c r="M17" s="30"/>
      <c r="O17" s="4"/>
      <c r="P17" s="25">
        <f>C29*C8</f>
        <v>0.31092482232350199</v>
      </c>
      <c r="V17" s="4"/>
      <c r="W17" s="25">
        <f>F29*F8</f>
        <v>3.0766166631321684E-3</v>
      </c>
      <c r="X17" s="11"/>
    </row>
    <row r="18" spans="1:24" x14ac:dyDescent="0.25">
      <c r="A18" s="34" t="s">
        <v>21</v>
      </c>
      <c r="B18" s="38">
        <v>25.5</v>
      </c>
      <c r="C18" s="38">
        <v>25.5</v>
      </c>
      <c r="D18" s="38">
        <v>25.5</v>
      </c>
      <c r="E18" s="38">
        <v>19</v>
      </c>
      <c r="F18" s="38">
        <v>19</v>
      </c>
      <c r="G18" s="38">
        <v>22</v>
      </c>
      <c r="H18" s="38">
        <v>17</v>
      </c>
      <c r="I18" s="38">
        <v>25</v>
      </c>
      <c r="J18" s="38">
        <v>17</v>
      </c>
      <c r="K18" s="36"/>
      <c r="L18" s="36"/>
      <c r="M18" s="30"/>
      <c r="O18" s="4"/>
      <c r="P18" s="18"/>
    </row>
    <row r="19" spans="1:24" x14ac:dyDescent="0.25">
      <c r="A19" s="34" t="s">
        <v>22</v>
      </c>
      <c r="B19" s="43">
        <v>0.52</v>
      </c>
      <c r="C19" s="43">
        <v>0.52</v>
      </c>
      <c r="D19" s="43">
        <v>0.52</v>
      </c>
      <c r="E19" s="43">
        <v>0.52</v>
      </c>
      <c r="F19" s="43">
        <v>0.52</v>
      </c>
      <c r="G19" s="43">
        <v>0.52</v>
      </c>
      <c r="H19" s="43">
        <v>0.52</v>
      </c>
      <c r="I19" s="43">
        <v>0.52</v>
      </c>
      <c r="J19" s="43">
        <v>0.52</v>
      </c>
      <c r="K19" s="36"/>
      <c r="L19" s="36"/>
      <c r="M19" s="30"/>
      <c r="O19" s="4"/>
      <c r="P19" s="18"/>
    </row>
    <row r="20" spans="1:24" x14ac:dyDescent="0.25">
      <c r="A20" s="34" t="s">
        <v>20</v>
      </c>
      <c r="B20" s="38">
        <v>29</v>
      </c>
      <c r="C20" s="38">
        <v>29</v>
      </c>
      <c r="D20" s="38">
        <v>7</v>
      </c>
      <c r="E20" s="38">
        <v>2</v>
      </c>
      <c r="F20" s="38">
        <v>2</v>
      </c>
      <c r="G20" s="38">
        <v>1</v>
      </c>
      <c r="H20" s="38">
        <v>12</v>
      </c>
      <c r="I20" s="38">
        <v>4</v>
      </c>
      <c r="J20" s="38">
        <v>12</v>
      </c>
      <c r="K20" s="36"/>
      <c r="L20" s="36"/>
      <c r="M20" s="30"/>
      <c r="O20" s="4"/>
      <c r="P20" s="18"/>
    </row>
    <row r="21" spans="1:24" x14ac:dyDescent="0.25">
      <c r="A21" s="21"/>
      <c r="C21" s="4"/>
      <c r="D21" s="4"/>
      <c r="E21" s="4"/>
      <c r="F21" s="4"/>
      <c r="G21" s="4"/>
      <c r="H21" s="4"/>
      <c r="I21" s="4"/>
      <c r="J21" s="4"/>
      <c r="M21" s="30"/>
      <c r="O21" s="4"/>
      <c r="P21" s="18"/>
    </row>
    <row r="22" spans="1:24" x14ac:dyDescent="0.25">
      <c r="A22" s="34" t="s">
        <v>23</v>
      </c>
      <c r="B22" s="37">
        <v>10</v>
      </c>
      <c r="C22" s="37">
        <v>10</v>
      </c>
      <c r="D22" s="37">
        <v>25</v>
      </c>
      <c r="E22" s="37">
        <v>25</v>
      </c>
      <c r="F22" s="37">
        <v>25</v>
      </c>
      <c r="G22" s="37">
        <v>15</v>
      </c>
      <c r="H22" s="37">
        <v>40</v>
      </c>
      <c r="I22" s="37">
        <v>15</v>
      </c>
      <c r="J22" s="37">
        <v>40</v>
      </c>
      <c r="K22" s="36" t="s">
        <v>25</v>
      </c>
      <c r="L22" s="36"/>
      <c r="M22" s="30"/>
      <c r="N22" s="30"/>
    </row>
    <row r="23" spans="1:24" x14ac:dyDescent="0.25">
      <c r="A23" s="34" t="s">
        <v>24</v>
      </c>
      <c r="B23" s="37">
        <v>68</v>
      </c>
      <c r="C23" s="37">
        <v>120</v>
      </c>
      <c r="D23" s="37">
        <v>0</v>
      </c>
      <c r="E23" s="37">
        <v>6</v>
      </c>
      <c r="F23" s="37">
        <v>12</v>
      </c>
      <c r="G23" s="37">
        <v>20</v>
      </c>
      <c r="H23" s="37">
        <v>10</v>
      </c>
      <c r="I23" s="37">
        <v>20</v>
      </c>
      <c r="J23" s="37">
        <v>10</v>
      </c>
      <c r="K23" s="36" t="s">
        <v>25</v>
      </c>
      <c r="L23" s="36"/>
      <c r="M23" s="30"/>
      <c r="N23" s="30"/>
    </row>
    <row r="24" spans="1:24" x14ac:dyDescent="0.25">
      <c r="A24" s="34" t="s">
        <v>27</v>
      </c>
      <c r="B24" s="37">
        <v>42</v>
      </c>
      <c r="C24" s="37">
        <v>50</v>
      </c>
      <c r="D24" s="37">
        <v>5</v>
      </c>
      <c r="E24" s="37">
        <v>25</v>
      </c>
      <c r="F24" s="37">
        <v>25</v>
      </c>
      <c r="G24" s="37">
        <v>30</v>
      </c>
      <c r="H24" s="37">
        <v>45</v>
      </c>
      <c r="I24" s="37">
        <v>30</v>
      </c>
      <c r="J24" s="37">
        <v>45</v>
      </c>
      <c r="K24" s="36" t="s">
        <v>25</v>
      </c>
      <c r="L24" s="36"/>
      <c r="M24" s="30"/>
      <c r="N24" s="30"/>
    </row>
    <row r="25" spans="1:24" x14ac:dyDescent="0.25">
      <c r="A25" s="34" t="s">
        <v>26</v>
      </c>
      <c r="B25" s="37">
        <v>15</v>
      </c>
      <c r="C25" s="37">
        <v>15</v>
      </c>
      <c r="D25" s="37">
        <v>8</v>
      </c>
      <c r="E25" s="37">
        <v>4</v>
      </c>
      <c r="F25" s="37">
        <v>4</v>
      </c>
      <c r="G25" s="37">
        <v>8</v>
      </c>
      <c r="H25" s="37">
        <v>10</v>
      </c>
      <c r="I25" s="37">
        <v>8</v>
      </c>
      <c r="J25" s="37">
        <v>10</v>
      </c>
      <c r="K25" s="36" t="s">
        <v>74</v>
      </c>
      <c r="L25" s="36"/>
      <c r="M25" s="30"/>
      <c r="N25" s="30"/>
    </row>
    <row r="26" spans="1:24" x14ac:dyDescent="0.25">
      <c r="A26" s="34" t="s">
        <v>31</v>
      </c>
      <c r="B26" s="37">
        <v>1.25</v>
      </c>
      <c r="C26" s="37">
        <v>0.5</v>
      </c>
      <c r="D26" s="37">
        <v>4</v>
      </c>
      <c r="E26" s="37">
        <v>1</v>
      </c>
      <c r="F26" s="37">
        <v>1</v>
      </c>
      <c r="G26" s="37">
        <v>4</v>
      </c>
      <c r="H26" s="37">
        <v>1</v>
      </c>
      <c r="I26" s="37">
        <v>2</v>
      </c>
      <c r="J26" s="37">
        <v>1</v>
      </c>
      <c r="K26" s="36" t="s">
        <v>32</v>
      </c>
      <c r="L26" s="36"/>
      <c r="M26" s="30"/>
      <c r="N26" s="30"/>
    </row>
    <row r="27" spans="1:24" x14ac:dyDescent="0.25">
      <c r="A27" s="77"/>
      <c r="B27" s="77"/>
      <c r="C27" s="77"/>
      <c r="D27" s="81"/>
      <c r="E27" s="82"/>
      <c r="F27" s="82"/>
      <c r="G27" s="81"/>
      <c r="H27" s="77"/>
      <c r="I27" s="77"/>
      <c r="J27" s="77"/>
      <c r="K27" s="77"/>
      <c r="L27" s="77"/>
    </row>
    <row r="28" spans="1:24" x14ac:dyDescent="0.25">
      <c r="A28" s="77"/>
      <c r="B28" s="84" t="s">
        <v>76</v>
      </c>
      <c r="C28" s="84" t="s">
        <v>69</v>
      </c>
      <c r="D28" s="84" t="s">
        <v>67</v>
      </c>
      <c r="E28" s="84" t="s">
        <v>68</v>
      </c>
      <c r="F28" s="84" t="s">
        <v>70</v>
      </c>
      <c r="G28" s="84" t="s">
        <v>71</v>
      </c>
      <c r="H28" s="84" t="s">
        <v>72</v>
      </c>
      <c r="I28" s="84" t="s">
        <v>73</v>
      </c>
      <c r="J28" s="84" t="s">
        <v>72</v>
      </c>
      <c r="K28" s="77"/>
      <c r="L28" s="80"/>
      <c r="M28" s="12"/>
    </row>
    <row r="29" spans="1:24" x14ac:dyDescent="0.25">
      <c r="A29" s="56" t="s">
        <v>29</v>
      </c>
      <c r="B29" s="57">
        <f>D29/((1-B8)+B8*(1-C8))</f>
        <v>621.84964464700397</v>
      </c>
      <c r="C29" s="57">
        <f>B29*B8</f>
        <v>6.2184964464700396</v>
      </c>
      <c r="D29" s="57">
        <f>E29/(1-D8)</f>
        <v>621.53871982468047</v>
      </c>
      <c r="E29" s="57">
        <f>G29/((1-E8)+E8*(1-F8))</f>
        <v>615.32333262643363</v>
      </c>
      <c r="F29" s="57">
        <f>E29*E8</f>
        <v>6.1532333262643366</v>
      </c>
      <c r="G29" s="57">
        <f t="shared" ref="G29:I29" si="0">(G30)/(1-G8)</f>
        <v>615.32025600977045</v>
      </c>
      <c r="H29" s="57">
        <f t="shared" si="0"/>
        <v>615.25872398416948</v>
      </c>
      <c r="I29" s="57">
        <f t="shared" si="0"/>
        <v>609.10613674432773</v>
      </c>
      <c r="J29" s="57">
        <f>(J30)/(1-J8)</f>
        <v>606.06060606060612</v>
      </c>
      <c r="K29" s="58" t="s">
        <v>48</v>
      </c>
      <c r="L29" s="59"/>
      <c r="M29" s="15"/>
    </row>
    <row r="30" spans="1:24" x14ac:dyDescent="0.25">
      <c r="A30" s="56" t="s">
        <v>28</v>
      </c>
      <c r="B30" s="57">
        <f>B29*(1-B8)</f>
        <v>615.63114820053397</v>
      </c>
      <c r="C30" s="57">
        <f>C29*(1-C8)</f>
        <v>5.907571624146537</v>
      </c>
      <c r="D30" s="57">
        <f t="shared" ref="D30" si="1">E29</f>
        <v>615.32333262643363</v>
      </c>
      <c r="E30" s="57">
        <f>E29*(1-E8)</f>
        <v>609.17009930016934</v>
      </c>
      <c r="F30" s="57">
        <f>F29*(1-F8)</f>
        <v>6.1501567096012044</v>
      </c>
      <c r="G30" s="57">
        <f t="shared" ref="G30:H30" si="2">H29</f>
        <v>615.25872398416948</v>
      </c>
      <c r="H30" s="57">
        <f t="shared" si="2"/>
        <v>609.10613674432773</v>
      </c>
      <c r="I30" s="57">
        <f>J29</f>
        <v>606.06060606060612</v>
      </c>
      <c r="J30" s="57">
        <f>B2/B3</f>
        <v>600</v>
      </c>
      <c r="K30" s="58" t="s">
        <v>48</v>
      </c>
      <c r="L30" s="58"/>
    </row>
    <row r="31" spans="1:24" x14ac:dyDescent="0.25">
      <c r="A31" s="51" t="s">
        <v>30</v>
      </c>
      <c r="B31" s="52">
        <f>(B22+B23)/(B22+B24+B25)</f>
        <v>1.164179104477612</v>
      </c>
      <c r="C31" s="52">
        <f t="shared" ref="C31:J31" si="3">(C22+C23)/(C22+C24+C25)</f>
        <v>1.7333333333333334</v>
      </c>
      <c r="D31" s="52">
        <f t="shared" si="3"/>
        <v>0.65789473684210531</v>
      </c>
      <c r="E31" s="52">
        <f t="shared" si="3"/>
        <v>0.57407407407407407</v>
      </c>
      <c r="F31" s="52">
        <f t="shared" si="3"/>
        <v>0.68518518518518523</v>
      </c>
      <c r="G31" s="52">
        <f t="shared" si="3"/>
        <v>0.660377358490566</v>
      </c>
      <c r="H31" s="52">
        <f t="shared" si="3"/>
        <v>0.52631578947368418</v>
      </c>
      <c r="I31" s="52">
        <f t="shared" si="3"/>
        <v>0.660377358490566</v>
      </c>
      <c r="J31" s="52">
        <f t="shared" si="3"/>
        <v>0.52631578947368418</v>
      </c>
      <c r="K31" s="53" t="s">
        <v>32</v>
      </c>
      <c r="L31" s="53"/>
    </row>
    <row r="32" spans="1:24" x14ac:dyDescent="0.25">
      <c r="A32" s="51" t="s">
        <v>46</v>
      </c>
      <c r="B32" s="54">
        <f>IF(B26&lt;=B31,B22+B23,B26*(B22+B24+B25))</f>
        <v>83.75</v>
      </c>
      <c r="C32" s="54">
        <f t="shared" ref="C32:J32" si="4">IF(C26&lt;=C31,C22+C23,C26*(C22+C24+C25))</f>
        <v>130</v>
      </c>
      <c r="D32" s="54">
        <f t="shared" si="4"/>
        <v>152</v>
      </c>
      <c r="E32" s="54">
        <f t="shared" si="4"/>
        <v>54</v>
      </c>
      <c r="F32" s="54">
        <f t="shared" si="4"/>
        <v>54</v>
      </c>
      <c r="G32" s="54">
        <f t="shared" si="4"/>
        <v>212</v>
      </c>
      <c r="H32" s="54">
        <f t="shared" si="4"/>
        <v>95</v>
      </c>
      <c r="I32" s="54">
        <f t="shared" si="4"/>
        <v>106</v>
      </c>
      <c r="J32" s="54">
        <f t="shared" si="4"/>
        <v>95</v>
      </c>
      <c r="K32" s="53" t="s">
        <v>25</v>
      </c>
      <c r="L32" s="53"/>
    </row>
    <row r="33" spans="1:13" x14ac:dyDescent="0.25">
      <c r="A33" s="51" t="s">
        <v>34</v>
      </c>
      <c r="B33" s="55">
        <f>IF(B26&lt;=B31,0,B32-(B22+B23))</f>
        <v>5.75</v>
      </c>
      <c r="C33" s="55">
        <f t="shared" ref="C33:J33" si="5">IF(C26&lt;=C31,0,C32-(C22+C23))</f>
        <v>0</v>
      </c>
      <c r="D33" s="55">
        <f t="shared" si="5"/>
        <v>127</v>
      </c>
      <c r="E33" s="55">
        <f t="shared" si="5"/>
        <v>23</v>
      </c>
      <c r="F33" s="55">
        <f t="shared" si="5"/>
        <v>17</v>
      </c>
      <c r="G33" s="55">
        <f t="shared" si="5"/>
        <v>177</v>
      </c>
      <c r="H33" s="55">
        <f t="shared" si="5"/>
        <v>45</v>
      </c>
      <c r="I33" s="55">
        <f t="shared" si="5"/>
        <v>71</v>
      </c>
      <c r="J33" s="55">
        <f t="shared" si="5"/>
        <v>45</v>
      </c>
      <c r="K33" s="53" t="s">
        <v>25</v>
      </c>
      <c r="L33" s="53"/>
    </row>
    <row r="34" spans="1:13" x14ac:dyDescent="0.25">
      <c r="A34" s="51" t="s">
        <v>33</v>
      </c>
      <c r="B34" s="55">
        <f>IF(B26&lt;=B31,B32-B26*(B22+B24+B25),0)</f>
        <v>0</v>
      </c>
      <c r="C34" s="55">
        <f t="shared" ref="C34:J34" si="6">IF(C26&lt;=C31,C32-C26*(C22+C24+C25),0)</f>
        <v>92.5</v>
      </c>
      <c r="D34" s="55">
        <f t="shared" si="6"/>
        <v>0</v>
      </c>
      <c r="E34" s="55">
        <f t="shared" si="6"/>
        <v>0</v>
      </c>
      <c r="F34" s="55">
        <f t="shared" si="6"/>
        <v>0</v>
      </c>
      <c r="G34" s="55">
        <f t="shared" si="6"/>
        <v>0</v>
      </c>
      <c r="H34" s="55">
        <f t="shared" si="6"/>
        <v>0</v>
      </c>
      <c r="I34" s="55">
        <f t="shared" si="6"/>
        <v>0</v>
      </c>
      <c r="J34" s="55">
        <f t="shared" si="6"/>
        <v>0</v>
      </c>
      <c r="K34" s="53" t="s">
        <v>25</v>
      </c>
      <c r="L34" s="53"/>
    </row>
    <row r="35" spans="1:13" ht="15.75" thickBot="1" x14ac:dyDescent="0.3">
      <c r="A35" s="44" t="s">
        <v>35</v>
      </c>
      <c r="B35" s="45">
        <f>IF(B26&lt;=B31,((B18*(1+B19)+B26*B20)*(B22+B23)*(1/3600))/B26,((B18*(1+B19)+B26*B20)*(B22+B24+B25)*(1/3600)))</f>
        <v>1.3960194444444443</v>
      </c>
      <c r="C35" s="45">
        <f t="shared" ref="C35:J35" si="7">IF(C26&lt;=C31,((C18*(1+C19)+C26*C20)*(C22+C23)*(1/3600))/C26,((C18*(1+C19)+C26*C20)*(C22+C24+C25)*(1/3600)))</f>
        <v>3.8465555555555557</v>
      </c>
      <c r="D35" s="45">
        <f t="shared" si="7"/>
        <v>0.70468888888888881</v>
      </c>
      <c r="E35" s="45">
        <f t="shared" si="7"/>
        <v>0.4632</v>
      </c>
      <c r="F35" s="45">
        <f t="shared" si="7"/>
        <v>0.4632</v>
      </c>
      <c r="G35" s="45">
        <f t="shared" si="7"/>
        <v>0.55120000000000002</v>
      </c>
      <c r="H35" s="45">
        <f t="shared" si="7"/>
        <v>0.99855555555555564</v>
      </c>
      <c r="I35" s="45">
        <f t="shared" si="7"/>
        <v>0.67722222222222217</v>
      </c>
      <c r="J35" s="45">
        <f t="shared" si="7"/>
        <v>0.99855555555555564</v>
      </c>
      <c r="K35" s="46">
        <f>SUM(B35:J35)+K$2</f>
        <v>10.099197222222219</v>
      </c>
      <c r="L35" s="47" t="s">
        <v>113</v>
      </c>
      <c r="M35" s="12"/>
    </row>
    <row r="36" spans="1:13" ht="15.75" thickTop="1" x14ac:dyDescent="0.25">
      <c r="A36" s="24" t="s">
        <v>36</v>
      </c>
      <c r="B36" s="31">
        <f>B29/$B4</f>
        <v>621.84964464700397</v>
      </c>
      <c r="C36" s="31">
        <f t="shared" ref="C36:J36" si="8">C29/$B4</f>
        <v>6.2184964464700396</v>
      </c>
      <c r="D36" s="31">
        <f t="shared" si="8"/>
        <v>621.53871982468047</v>
      </c>
      <c r="E36" s="31">
        <f t="shared" si="8"/>
        <v>615.32333262643363</v>
      </c>
      <c r="F36" s="31">
        <f t="shared" si="8"/>
        <v>6.1532333262643366</v>
      </c>
      <c r="G36" s="31">
        <f t="shared" si="8"/>
        <v>615.32025600977045</v>
      </c>
      <c r="H36" s="31">
        <f t="shared" si="8"/>
        <v>615.25872398416948</v>
      </c>
      <c r="I36" s="31">
        <f t="shared" si="8"/>
        <v>609.10613674432773</v>
      </c>
      <c r="J36" s="31">
        <f t="shared" si="8"/>
        <v>606.06060606060612</v>
      </c>
      <c r="K36" t="s">
        <v>49</v>
      </c>
      <c r="L36" s="14"/>
      <c r="M36" s="14"/>
    </row>
    <row r="37" spans="1:13" x14ac:dyDescent="0.25">
      <c r="A37" s="24" t="s">
        <v>37</v>
      </c>
      <c r="B37" s="32">
        <f>(($B5*60)-($F2*$F3)-($F4*$F5))*60</f>
        <v>28800</v>
      </c>
      <c r="C37" s="32">
        <f t="shared" ref="C37:J37" si="9">(($B5*60)-($F2*$F3)-($F4*$F5))*60</f>
        <v>28800</v>
      </c>
      <c r="D37" s="32">
        <f t="shared" si="9"/>
        <v>28800</v>
      </c>
      <c r="E37" s="32">
        <f t="shared" si="9"/>
        <v>28800</v>
      </c>
      <c r="F37" s="32">
        <f t="shared" si="9"/>
        <v>28800</v>
      </c>
      <c r="G37" s="32">
        <f t="shared" si="9"/>
        <v>28800</v>
      </c>
      <c r="H37" s="32">
        <f t="shared" si="9"/>
        <v>28800</v>
      </c>
      <c r="I37" s="32">
        <f t="shared" si="9"/>
        <v>28800</v>
      </c>
      <c r="J37" s="32">
        <f t="shared" si="9"/>
        <v>28800</v>
      </c>
      <c r="K37" t="s">
        <v>38</v>
      </c>
    </row>
    <row r="38" spans="1:13" x14ac:dyDescent="0.25">
      <c r="A38" s="24" t="s">
        <v>39</v>
      </c>
      <c r="B38" s="33">
        <f>B12/(B12+SUM(B13:B16))</f>
        <v>0.9830749537761343</v>
      </c>
      <c r="C38" s="33">
        <f t="shared" ref="C38:J38" si="10">C12/(C12+SUM(C13:C16))</f>
        <v>0.9830749537761343</v>
      </c>
      <c r="D38" s="33">
        <f t="shared" si="10"/>
        <v>0.99945631427348536</v>
      </c>
      <c r="E38" s="33">
        <f t="shared" si="10"/>
        <v>0.99502487562189057</v>
      </c>
      <c r="F38" s="33">
        <f t="shared" si="10"/>
        <v>0.99502487562189057</v>
      </c>
      <c r="G38" s="33">
        <f t="shared" si="10"/>
        <v>0.98966351440510225</v>
      </c>
      <c r="H38" s="33">
        <f t="shared" si="10"/>
        <v>0.99981677740383224</v>
      </c>
      <c r="I38" s="33">
        <f t="shared" si="10"/>
        <v>0.98966351440510225</v>
      </c>
      <c r="J38" s="33">
        <f t="shared" si="10"/>
        <v>0.99981677740383224</v>
      </c>
      <c r="L38" s="12"/>
      <c r="M38" s="12"/>
    </row>
    <row r="39" spans="1:13" x14ac:dyDescent="0.25">
      <c r="A39" s="60" t="s">
        <v>40</v>
      </c>
      <c r="B39" s="61">
        <f>(B32*B36)/(B11*B37*B38)</f>
        <v>0.45986578207663809</v>
      </c>
      <c r="C39" s="61">
        <f t="shared" ref="C39:J39" si="11">(C32*C36)/(C11*C37*C38)</f>
        <v>7.1382151247716963E-3</v>
      </c>
      <c r="D39" s="61">
        <f t="shared" si="11"/>
        <v>3.2821276894965248</v>
      </c>
      <c r="E39" s="61">
        <f t="shared" si="11"/>
        <v>1.1594999049179358</v>
      </c>
      <c r="F39" s="61">
        <f t="shared" si="11"/>
        <v>1.159499904917936E-2</v>
      </c>
      <c r="G39" s="61">
        <f t="shared" si="11"/>
        <v>1.1441870664818719</v>
      </c>
      <c r="H39" s="61">
        <f t="shared" si="11"/>
        <v>2.0298711814099697</v>
      </c>
      <c r="I39" s="61">
        <f t="shared" si="11"/>
        <v>1.1326319212974714</v>
      </c>
      <c r="J39" s="61">
        <f t="shared" si="11"/>
        <v>1.9995246072478907</v>
      </c>
      <c r="K39" s="62"/>
      <c r="L39" s="63"/>
      <c r="M39" s="13"/>
    </row>
    <row r="40" spans="1:13" x14ac:dyDescent="0.25">
      <c r="A40" s="60" t="s">
        <v>41</v>
      </c>
      <c r="B40" s="64">
        <f>CEILING(B39,1)</f>
        <v>1</v>
      </c>
      <c r="C40" s="64">
        <f t="shared" ref="C40:J40" si="12">CEILING(C39,1)</f>
        <v>1</v>
      </c>
      <c r="D40" s="64">
        <f t="shared" si="12"/>
        <v>4</v>
      </c>
      <c r="E40" s="64">
        <f t="shared" si="12"/>
        <v>2</v>
      </c>
      <c r="F40" s="64">
        <f t="shared" si="12"/>
        <v>1</v>
      </c>
      <c r="G40" s="64">
        <f t="shared" si="12"/>
        <v>2</v>
      </c>
      <c r="H40" s="64">
        <f t="shared" si="12"/>
        <v>3</v>
      </c>
      <c r="I40" s="64">
        <f t="shared" si="12"/>
        <v>2</v>
      </c>
      <c r="J40" s="64">
        <f t="shared" si="12"/>
        <v>2</v>
      </c>
      <c r="K40" s="65"/>
      <c r="L40" s="66" t="s">
        <v>114</v>
      </c>
      <c r="M40" s="14"/>
    </row>
    <row r="41" spans="1:13" x14ac:dyDescent="0.25">
      <c r="A41" s="60" t="s">
        <v>43</v>
      </c>
      <c r="B41" s="64">
        <f>B40*(B9*B10)</f>
        <v>28</v>
      </c>
      <c r="C41" s="64">
        <f t="shared" ref="C41:J41" si="13">C40*(C9*C10)</f>
        <v>28</v>
      </c>
      <c r="D41" s="64">
        <f t="shared" si="13"/>
        <v>96</v>
      </c>
      <c r="E41" s="64">
        <f t="shared" si="13"/>
        <v>72</v>
      </c>
      <c r="F41" s="64">
        <f t="shared" si="13"/>
        <v>36</v>
      </c>
      <c r="G41" s="64">
        <f t="shared" si="13"/>
        <v>64</v>
      </c>
      <c r="H41" s="64">
        <f t="shared" si="13"/>
        <v>180</v>
      </c>
      <c r="I41" s="64">
        <f t="shared" si="13"/>
        <v>48</v>
      </c>
      <c r="J41" s="64">
        <f t="shared" si="13"/>
        <v>120</v>
      </c>
      <c r="K41" s="65" t="s">
        <v>42</v>
      </c>
      <c r="L41" s="85">
        <f>SUM(B41:J41)</f>
        <v>672</v>
      </c>
      <c r="M41" s="15"/>
    </row>
    <row r="42" spans="1:13" x14ac:dyDescent="0.25">
      <c r="A42" s="67" t="s">
        <v>44</v>
      </c>
      <c r="B42" s="68">
        <f>CEILING(B39,1)*(B9*B10)</f>
        <v>28</v>
      </c>
      <c r="C42" s="68">
        <f t="shared" ref="C42:G42" si="14">CEILING(C39,1)*(C9*C10)</f>
        <v>28</v>
      </c>
      <c r="D42" s="68">
        <f t="shared" si="14"/>
        <v>96</v>
      </c>
      <c r="E42" s="68">
        <f t="shared" si="14"/>
        <v>72</v>
      </c>
      <c r="F42" s="68">
        <f t="shared" si="14"/>
        <v>36</v>
      </c>
      <c r="G42" s="68">
        <f t="shared" si="14"/>
        <v>64</v>
      </c>
      <c r="H42" s="68">
        <f>CEILING(H39+J39,1)*(H9*H10)</f>
        <v>300</v>
      </c>
      <c r="I42" s="68">
        <f>CEILING(I39,1)*(I9*I10)</f>
        <v>48</v>
      </c>
      <c r="J42" s="68">
        <v>0</v>
      </c>
      <c r="K42" s="69" t="s">
        <v>42</v>
      </c>
      <c r="L42" s="86">
        <f>SUM(B42:J42)</f>
        <v>672</v>
      </c>
      <c r="M42" s="13"/>
    </row>
    <row r="43" spans="1:13" s="29" customFormat="1" ht="15.75" thickBot="1" x14ac:dyDescent="0.3">
      <c r="A43" s="70" t="s">
        <v>116</v>
      </c>
      <c r="B43" s="71">
        <f>(B29*B35)/B30</f>
        <v>1.4101206509539839</v>
      </c>
      <c r="C43" s="71">
        <f t="shared" ref="C43:J43" si="15">(C29*C35)/C30</f>
        <v>4.0490058479532172</v>
      </c>
      <c r="D43" s="71">
        <f t="shared" si="15"/>
        <v>0.71180695847362507</v>
      </c>
      <c r="E43" s="71">
        <f t="shared" si="15"/>
        <v>0.46787878787878784</v>
      </c>
      <c r="F43" s="71">
        <f t="shared" si="15"/>
        <v>0.46343171585792897</v>
      </c>
      <c r="G43" s="71">
        <f t="shared" si="15"/>
        <v>0.55125512551255129</v>
      </c>
      <c r="H43" s="71">
        <f t="shared" si="15"/>
        <v>1.0086419753086422</v>
      </c>
      <c r="I43" s="71">
        <f t="shared" si="15"/>
        <v>0.6806253489670574</v>
      </c>
      <c r="J43" s="71">
        <f t="shared" si="15"/>
        <v>1.0086419753086422</v>
      </c>
      <c r="K43" s="72">
        <f>SUM(B43:J43)+K$2</f>
        <v>10.351408386214436</v>
      </c>
      <c r="L43" s="73" t="s">
        <v>115</v>
      </c>
    </row>
    <row r="44" spans="1:13" ht="16.5" thickTop="1" thickBot="1" x14ac:dyDescent="0.3">
      <c r="A44" s="48" t="s">
        <v>45</v>
      </c>
      <c r="B44" s="49">
        <f>SUM(B43:J43)+(B29*K$2)/J30</f>
        <v>10.351408386214436</v>
      </c>
      <c r="C44" s="50" t="s">
        <v>47</v>
      </c>
      <c r="D44" s="89"/>
      <c r="E44" s="89"/>
      <c r="F44" s="89"/>
      <c r="G44" s="89"/>
      <c r="H44" s="89"/>
      <c r="I44" s="89"/>
      <c r="J44" s="89"/>
      <c r="K44" s="89"/>
      <c r="L44" s="89"/>
    </row>
    <row r="45" spans="1:13" ht="15.75" thickTop="1" x14ac:dyDescent="0.2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</sheetData>
  <mergeCells count="9">
    <mergeCell ref="AC5:AD6"/>
    <mergeCell ref="V11:W12"/>
    <mergeCell ref="AF5:AG6"/>
    <mergeCell ref="AI5:AJ6"/>
    <mergeCell ref="O5:P6"/>
    <mergeCell ref="S5:T6"/>
    <mergeCell ref="V5:W6"/>
    <mergeCell ref="O11:P12"/>
    <mergeCell ref="Z5:AA6"/>
  </mergeCells>
  <printOptions horizontalCentered="1" verticalCentered="1"/>
  <pageMargins left="0.45" right="0.45" top="0.5" bottom="0.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L28" sqref="L28"/>
    </sheetView>
  </sheetViews>
  <sheetFormatPr defaultRowHeight="15" x14ac:dyDescent="0.25"/>
  <cols>
    <col min="1" max="1" width="26.42578125" bestFit="1" customWidth="1"/>
    <col min="2" max="5" width="10" bestFit="1" customWidth="1"/>
    <col min="6" max="6" width="9.7109375" customWidth="1"/>
    <col min="7" max="7" width="8.42578125" customWidth="1"/>
    <col min="9" max="10" width="6.28515625" customWidth="1"/>
    <col min="13" max="14" width="6.28515625" customWidth="1"/>
    <col min="16" max="17" width="6.28515625" customWidth="1"/>
  </cols>
  <sheetData>
    <row r="1" spans="1:19" x14ac:dyDescent="0.25">
      <c r="A1" s="19" t="s">
        <v>64</v>
      </c>
      <c r="H1" s="19" t="s">
        <v>65</v>
      </c>
    </row>
    <row r="2" spans="1:19" x14ac:dyDescent="0.25">
      <c r="A2" s="2" t="s">
        <v>8</v>
      </c>
      <c r="B2" s="4">
        <v>515000</v>
      </c>
      <c r="C2" t="s">
        <v>11</v>
      </c>
    </row>
    <row r="3" spans="1:19" ht="18" x14ac:dyDescent="0.35">
      <c r="A3" s="2" t="s">
        <v>17</v>
      </c>
      <c r="B3" s="4">
        <v>250</v>
      </c>
      <c r="D3" t="s">
        <v>21</v>
      </c>
      <c r="F3" s="1">
        <v>18.5</v>
      </c>
      <c r="H3" s="4" t="s">
        <v>51</v>
      </c>
      <c r="K3" s="4" t="s">
        <v>54</v>
      </c>
      <c r="L3" s="4" t="s">
        <v>52</v>
      </c>
      <c r="O3" s="4" t="s">
        <v>60</v>
      </c>
      <c r="R3" s="4" t="s">
        <v>53</v>
      </c>
    </row>
    <row r="4" spans="1:19" ht="15.75" thickBot="1" x14ac:dyDescent="0.3">
      <c r="A4" s="2" t="s">
        <v>18</v>
      </c>
      <c r="B4" s="4">
        <v>2</v>
      </c>
      <c r="D4" t="s">
        <v>22</v>
      </c>
      <c r="F4" s="5">
        <v>0.52</v>
      </c>
      <c r="H4" s="6"/>
      <c r="I4" s="4"/>
      <c r="J4" s="4"/>
      <c r="K4" s="6"/>
      <c r="L4" s="6"/>
      <c r="M4" s="4"/>
      <c r="N4" s="4"/>
      <c r="O4" s="6"/>
      <c r="P4" s="4"/>
      <c r="Q4" s="4"/>
      <c r="R4" s="4"/>
      <c r="S4" s="4"/>
    </row>
    <row r="5" spans="1:19" x14ac:dyDescent="0.25">
      <c r="A5" s="2" t="s">
        <v>19</v>
      </c>
      <c r="B5" s="4">
        <v>10</v>
      </c>
      <c r="D5" t="s">
        <v>20</v>
      </c>
      <c r="F5" s="1">
        <v>5.75</v>
      </c>
      <c r="H5" s="4"/>
      <c r="I5" s="122" t="s">
        <v>0</v>
      </c>
      <c r="J5" s="123"/>
      <c r="K5" s="4"/>
      <c r="L5" s="4"/>
      <c r="M5" s="122" t="s">
        <v>2</v>
      </c>
      <c r="N5" s="123"/>
      <c r="O5" s="4"/>
      <c r="P5" s="122" t="s">
        <v>3</v>
      </c>
      <c r="Q5" s="123"/>
      <c r="R5" s="4"/>
      <c r="S5" s="4"/>
    </row>
    <row r="6" spans="1:19" ht="15.75" thickBot="1" x14ac:dyDescent="0.3">
      <c r="A6" s="2"/>
      <c r="B6" s="20" t="s">
        <v>0</v>
      </c>
      <c r="C6" s="20" t="s">
        <v>1</v>
      </c>
      <c r="D6" s="20" t="s">
        <v>2</v>
      </c>
      <c r="E6" s="20" t="s">
        <v>3</v>
      </c>
      <c r="H6" s="4"/>
      <c r="I6" s="124"/>
      <c r="J6" s="125"/>
      <c r="K6" s="4"/>
      <c r="L6" s="4"/>
      <c r="M6" s="124"/>
      <c r="N6" s="125"/>
      <c r="O6" s="4"/>
      <c r="P6" s="124"/>
      <c r="Q6" s="125"/>
      <c r="R6" s="4"/>
      <c r="S6" s="4"/>
    </row>
    <row r="7" spans="1:19" ht="18" x14ac:dyDescent="0.35">
      <c r="A7" s="2" t="s">
        <v>4</v>
      </c>
      <c r="B7" s="3">
        <v>0.02</v>
      </c>
      <c r="C7" s="3">
        <v>0.52</v>
      </c>
      <c r="D7" s="3">
        <v>0.04</v>
      </c>
      <c r="E7" s="3">
        <v>5.0000000000000001E-3</v>
      </c>
      <c r="H7" s="4" t="s">
        <v>56</v>
      </c>
      <c r="I7" s="4"/>
      <c r="J7" s="4"/>
      <c r="K7" s="4"/>
      <c r="L7" s="4"/>
      <c r="M7" s="4"/>
      <c r="N7" s="4"/>
      <c r="P7" s="4"/>
      <c r="Q7" s="4"/>
      <c r="S7" s="4"/>
    </row>
    <row r="8" spans="1:19" ht="18" x14ac:dyDescent="0.35">
      <c r="A8" s="2" t="s">
        <v>5</v>
      </c>
      <c r="B8" s="4">
        <v>5</v>
      </c>
      <c r="C8" s="4">
        <v>8</v>
      </c>
      <c r="D8" s="4">
        <v>3</v>
      </c>
      <c r="E8" s="4">
        <v>12</v>
      </c>
      <c r="F8" t="s">
        <v>12</v>
      </c>
      <c r="H8" s="17">
        <f>B7</f>
        <v>0.02</v>
      </c>
      <c r="I8" s="4"/>
      <c r="J8" s="4"/>
      <c r="K8" s="4" t="s">
        <v>55</v>
      </c>
      <c r="L8" s="4"/>
      <c r="M8" s="4"/>
      <c r="N8" s="4"/>
      <c r="P8" s="4"/>
      <c r="Q8" s="4"/>
      <c r="S8" s="4"/>
    </row>
    <row r="9" spans="1:19" ht="18" x14ac:dyDescent="0.35">
      <c r="A9" s="2" t="s">
        <v>6</v>
      </c>
      <c r="B9" s="4">
        <v>7</v>
      </c>
      <c r="C9" s="4">
        <v>10</v>
      </c>
      <c r="D9" s="4">
        <v>2</v>
      </c>
      <c r="E9" s="4">
        <v>4</v>
      </c>
      <c r="F9" t="s">
        <v>12</v>
      </c>
      <c r="H9" s="4" t="s">
        <v>50</v>
      </c>
      <c r="I9" s="4"/>
      <c r="J9" s="4"/>
      <c r="K9" s="6"/>
      <c r="L9" s="4"/>
      <c r="M9" s="4"/>
      <c r="N9" s="4"/>
      <c r="O9" s="4"/>
      <c r="P9" s="4"/>
      <c r="Q9" s="4"/>
      <c r="R9" s="4"/>
      <c r="S9" s="4"/>
    </row>
    <row r="10" spans="1:19" ht="15.75" thickBot="1" x14ac:dyDescent="0.3">
      <c r="A10" s="2" t="s">
        <v>7</v>
      </c>
      <c r="B10" s="5">
        <v>1.2</v>
      </c>
      <c r="C10" s="5">
        <v>0.9</v>
      </c>
      <c r="D10" s="5">
        <v>1.1000000000000001</v>
      </c>
      <c r="E10" s="5">
        <v>0.85</v>
      </c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8" x14ac:dyDescent="0.35">
      <c r="A11" s="2" t="s">
        <v>9</v>
      </c>
      <c r="B11" s="4">
        <f>17*60</f>
        <v>1020</v>
      </c>
      <c r="C11" s="4">
        <f>120*60</f>
        <v>7200</v>
      </c>
      <c r="D11" s="4">
        <f>7*60</f>
        <v>420</v>
      </c>
      <c r="E11" s="4">
        <f>2000</f>
        <v>2000</v>
      </c>
      <c r="F11" t="s">
        <v>10</v>
      </c>
      <c r="H11" s="4"/>
      <c r="I11" s="122" t="s">
        <v>1</v>
      </c>
      <c r="J11" s="123"/>
      <c r="K11" s="4"/>
      <c r="L11" s="4"/>
      <c r="M11" s="4" t="s">
        <v>57</v>
      </c>
      <c r="N11" s="18">
        <f>D7</f>
        <v>0.04</v>
      </c>
      <c r="O11" s="4"/>
      <c r="P11" s="4" t="s">
        <v>58</v>
      </c>
      <c r="Q11" s="18">
        <f>E7</f>
        <v>5.0000000000000001E-3</v>
      </c>
      <c r="R11" s="4"/>
      <c r="S11" s="4"/>
    </row>
    <row r="12" spans="1:19" ht="15.75" thickBot="1" x14ac:dyDescent="0.3">
      <c r="A12" s="2" t="s">
        <v>13</v>
      </c>
      <c r="B12" s="4">
        <v>15</v>
      </c>
      <c r="C12" s="4">
        <v>2</v>
      </c>
      <c r="D12" s="4">
        <v>7</v>
      </c>
      <c r="E12" s="4">
        <v>5</v>
      </c>
      <c r="F12" t="s">
        <v>10</v>
      </c>
      <c r="H12" s="4"/>
      <c r="I12" s="124"/>
      <c r="J12" s="125"/>
      <c r="M12" s="4"/>
      <c r="N12" s="11"/>
      <c r="O12" s="4"/>
      <c r="P12" s="4"/>
      <c r="Q12" s="11"/>
      <c r="R12" s="4"/>
      <c r="S12" s="4"/>
    </row>
    <row r="13" spans="1:19" x14ac:dyDescent="0.25">
      <c r="A13" s="2" t="s">
        <v>14</v>
      </c>
      <c r="B13" s="4">
        <v>8</v>
      </c>
      <c r="C13" s="4">
        <v>2</v>
      </c>
      <c r="D13" s="4">
        <v>3</v>
      </c>
      <c r="E13" s="4">
        <v>2</v>
      </c>
      <c r="F13" t="s">
        <v>10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2" t="s">
        <v>15</v>
      </c>
      <c r="B14" s="4">
        <v>20</v>
      </c>
      <c r="C14" s="4">
        <v>1</v>
      </c>
      <c r="D14" s="4">
        <v>2</v>
      </c>
      <c r="E14" s="4">
        <v>12</v>
      </c>
      <c r="F14" t="s">
        <v>10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2" t="s">
        <v>16</v>
      </c>
      <c r="B15" s="4">
        <v>1</v>
      </c>
      <c r="C15" s="4">
        <v>1</v>
      </c>
      <c r="D15" s="4">
        <v>2</v>
      </c>
      <c r="E15" s="4">
        <v>2</v>
      </c>
      <c r="F15" t="s">
        <v>10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9" ht="18" x14ac:dyDescent="0.35">
      <c r="A16" s="2" t="s">
        <v>23</v>
      </c>
      <c r="B16" s="4">
        <v>22</v>
      </c>
      <c r="C16" s="4">
        <v>5</v>
      </c>
      <c r="D16" s="4">
        <v>5</v>
      </c>
      <c r="E16" s="4">
        <v>15</v>
      </c>
      <c r="F16" t="s">
        <v>25</v>
      </c>
      <c r="I16" s="4" t="s">
        <v>59</v>
      </c>
      <c r="J16" s="18">
        <f>C7</f>
        <v>0.52</v>
      </c>
    </row>
    <row r="17" spans="1:10" x14ac:dyDescent="0.25">
      <c r="A17" s="2" t="s">
        <v>24</v>
      </c>
      <c r="B17" s="4">
        <v>36</v>
      </c>
      <c r="C17" s="4">
        <v>18</v>
      </c>
      <c r="D17" s="4">
        <v>15</v>
      </c>
      <c r="E17" s="4">
        <v>40</v>
      </c>
      <c r="F17" t="s">
        <v>25</v>
      </c>
      <c r="J17" s="11"/>
    </row>
    <row r="18" spans="1:10" x14ac:dyDescent="0.25">
      <c r="A18" s="2" t="s">
        <v>27</v>
      </c>
      <c r="B18" s="4">
        <v>32</v>
      </c>
      <c r="C18" s="4">
        <v>10</v>
      </c>
      <c r="D18" s="4">
        <v>10</v>
      </c>
      <c r="E18" s="4">
        <v>20</v>
      </c>
      <c r="F18" t="s">
        <v>25</v>
      </c>
    </row>
    <row r="19" spans="1:10" x14ac:dyDescent="0.25">
      <c r="A19" s="2" t="s">
        <v>26</v>
      </c>
      <c r="B19" s="4">
        <v>4</v>
      </c>
      <c r="C19" s="4">
        <v>4</v>
      </c>
      <c r="D19" s="4">
        <v>8</v>
      </c>
      <c r="E19" s="4">
        <v>10</v>
      </c>
      <c r="F19" t="s">
        <v>25</v>
      </c>
    </row>
    <row r="20" spans="1:10" x14ac:dyDescent="0.25">
      <c r="A20" s="2" t="s">
        <v>31</v>
      </c>
      <c r="B20" s="4">
        <v>1</v>
      </c>
      <c r="C20" s="4">
        <v>1</v>
      </c>
      <c r="D20" s="4">
        <v>1</v>
      </c>
      <c r="E20" s="4">
        <v>1.25</v>
      </c>
      <c r="F20" t="s">
        <v>32</v>
      </c>
    </row>
    <row r="22" spans="1:10" x14ac:dyDescent="0.25">
      <c r="B22" s="20" t="s">
        <v>0</v>
      </c>
      <c r="C22" s="20" t="s">
        <v>1</v>
      </c>
      <c r="D22" s="20" t="s">
        <v>2</v>
      </c>
      <c r="E22" s="20" t="s">
        <v>3</v>
      </c>
      <c r="G22" s="12" t="s">
        <v>66</v>
      </c>
    </row>
    <row r="23" spans="1:10" x14ac:dyDescent="0.25">
      <c r="A23" s="2" t="s">
        <v>29</v>
      </c>
      <c r="B23" s="6">
        <f>D23/((1-B7)+B7*(1-C7))</f>
        <v>2179.280937156816</v>
      </c>
      <c r="C23" s="6">
        <f>B23*B7</f>
        <v>43.585618743136322</v>
      </c>
      <c r="D23" s="6">
        <f>E23/(1-D7)</f>
        <v>2156.6164154103853</v>
      </c>
      <c r="E23" s="6">
        <f>G23/(1-E7)</f>
        <v>2070.35175879397</v>
      </c>
      <c r="F23" t="s">
        <v>48</v>
      </c>
      <c r="G23" s="15">
        <f>B2/B3</f>
        <v>2060</v>
      </c>
    </row>
    <row r="24" spans="1:10" x14ac:dyDescent="0.25">
      <c r="A24" s="2" t="s">
        <v>28</v>
      </c>
      <c r="B24" s="6">
        <f>B23*(1-B7)</f>
        <v>2135.6953184136796</v>
      </c>
      <c r="C24" s="6">
        <f>C23*(1-C7)</f>
        <v>20.921096996705433</v>
      </c>
      <c r="D24" s="6">
        <f>D23*(1-D7)</f>
        <v>2070.35175879397</v>
      </c>
      <c r="E24" s="6">
        <f>E23*(1-E7)</f>
        <v>2060</v>
      </c>
      <c r="F24" t="s">
        <v>48</v>
      </c>
    </row>
    <row r="25" spans="1:10" x14ac:dyDescent="0.25">
      <c r="A25" s="2" t="s">
        <v>30</v>
      </c>
      <c r="B25" s="7">
        <f>(B16+B17)/(B16+B18+B19)</f>
        <v>1</v>
      </c>
      <c r="C25" s="7">
        <f t="shared" ref="C25:E25" si="0">(C16+C17)/(C16+C18+C19)</f>
        <v>1.2105263157894737</v>
      </c>
      <c r="D25" s="7">
        <f t="shared" si="0"/>
        <v>0.86956521739130432</v>
      </c>
      <c r="E25" s="7">
        <f t="shared" si="0"/>
        <v>1.2222222222222223</v>
      </c>
      <c r="F25" t="s">
        <v>32</v>
      </c>
    </row>
    <row r="26" spans="1:10" x14ac:dyDescent="0.25">
      <c r="A26" s="2" t="s">
        <v>46</v>
      </c>
      <c r="B26" s="4">
        <f>MAX(B16+B17,B16+B18+B19)</f>
        <v>58</v>
      </c>
      <c r="C26" s="4">
        <f t="shared" ref="C26:E26" si="1">MAX(C16+C17,C16+C18+C19)</f>
        <v>23</v>
      </c>
      <c r="D26" s="4">
        <f t="shared" si="1"/>
        <v>23</v>
      </c>
      <c r="E26" s="4">
        <f t="shared" si="1"/>
        <v>55</v>
      </c>
      <c r="F26" t="s">
        <v>25</v>
      </c>
    </row>
    <row r="27" spans="1:10" x14ac:dyDescent="0.25">
      <c r="A27" s="2" t="s">
        <v>34</v>
      </c>
      <c r="B27" s="4">
        <f>IF(B20&gt;B25, B26-(B16+B17),0)</f>
        <v>0</v>
      </c>
      <c r="C27" s="4">
        <f t="shared" ref="C27:E27" si="2">IF(C20&gt;C25, C26-(C16+C17),0)</f>
        <v>0</v>
      </c>
      <c r="D27" s="4">
        <f t="shared" si="2"/>
        <v>3</v>
      </c>
      <c r="E27" s="4">
        <f t="shared" si="2"/>
        <v>0</v>
      </c>
      <c r="F27" t="s">
        <v>25</v>
      </c>
    </row>
    <row r="28" spans="1:10" x14ac:dyDescent="0.25">
      <c r="A28" s="2" t="s">
        <v>33</v>
      </c>
      <c r="B28" s="4">
        <f>IF(B20&gt;B25,0,B26-(B20*(B16+B18+B19)))</f>
        <v>0</v>
      </c>
      <c r="C28" s="4">
        <f t="shared" ref="C28:E28" si="3">IF(C20&gt;C25,0,C26-(C20*(C16+C18+C19)))</f>
        <v>4</v>
      </c>
      <c r="D28" s="4">
        <f t="shared" si="3"/>
        <v>0</v>
      </c>
      <c r="E28" s="4">
        <f t="shared" si="3"/>
        <v>0</v>
      </c>
      <c r="F28" t="s">
        <v>25</v>
      </c>
    </row>
    <row r="29" spans="1:10" x14ac:dyDescent="0.25">
      <c r="A29" s="2" t="s">
        <v>35</v>
      </c>
      <c r="B29" s="9">
        <f>IF(B20&gt;B25,($F$3*(1+$F$4)+B20*$F$5)*(B16+B18+B19),(($F$3*(1+$F$4)+B20*$F$5)*(B16+B17))/B20)/3600</f>
        <v>0.54568333333333341</v>
      </c>
      <c r="C29" s="9">
        <f t="shared" ref="C29:E29" si="4">IF(C20&gt;C25,($F$3*(1+$F$4)+C20*$F$5)*(C16+C18+C19),(($F$3*(1+$F$4)+C20*$F$5)*(C16+C17))/C20)/3600</f>
        <v>0.2163916666666667</v>
      </c>
      <c r="D29" s="9">
        <f t="shared" si="4"/>
        <v>0.2163916666666667</v>
      </c>
      <c r="E29" s="9">
        <f t="shared" si="4"/>
        <v>0.44134375000000003</v>
      </c>
      <c r="G29" s="12" t="s">
        <v>66</v>
      </c>
    </row>
    <row r="30" spans="1:10" x14ac:dyDescent="0.25">
      <c r="A30" s="2" t="s">
        <v>36</v>
      </c>
      <c r="B30" s="6">
        <f>B23/2</f>
        <v>1089.640468578408</v>
      </c>
      <c r="C30" s="6">
        <f t="shared" ref="C30:E30" si="5">C23/2</f>
        <v>21.792809371568161</v>
      </c>
      <c r="D30" s="6">
        <f t="shared" si="5"/>
        <v>1078.3082077051927</v>
      </c>
      <c r="E30" s="6">
        <f t="shared" si="5"/>
        <v>1035.175879396985</v>
      </c>
      <c r="F30" t="s">
        <v>49</v>
      </c>
      <c r="G30" s="14">
        <f>G23/B4</f>
        <v>1030</v>
      </c>
    </row>
    <row r="31" spans="1:10" x14ac:dyDescent="0.25">
      <c r="A31" s="2" t="s">
        <v>37</v>
      </c>
      <c r="B31" s="4">
        <f>$B$5*60*60</f>
        <v>36000</v>
      </c>
      <c r="C31" s="4">
        <f t="shared" ref="C31:E31" si="6">$B$5*60*60</f>
        <v>36000</v>
      </c>
      <c r="D31" s="4">
        <f t="shared" si="6"/>
        <v>36000</v>
      </c>
      <c r="E31" s="4">
        <f t="shared" si="6"/>
        <v>36000</v>
      </c>
      <c r="F31" t="s">
        <v>38</v>
      </c>
    </row>
    <row r="32" spans="1:10" x14ac:dyDescent="0.25">
      <c r="A32" s="2" t="s">
        <v>39</v>
      </c>
      <c r="B32" s="3">
        <f>B11/(SUM(B12:B15)+B11)</f>
        <v>0.95864661654135341</v>
      </c>
      <c r="C32" s="3">
        <f t="shared" ref="C32:E32" si="7">C11/(SUM(C12:C15)+C11)</f>
        <v>0.99916736053288924</v>
      </c>
      <c r="D32" s="3">
        <f t="shared" si="7"/>
        <v>0.967741935483871</v>
      </c>
      <c r="E32" s="3">
        <f t="shared" si="7"/>
        <v>0.98960910440376049</v>
      </c>
      <c r="G32" s="12" t="s">
        <v>61</v>
      </c>
    </row>
    <row r="33" spans="1:7" x14ac:dyDescent="0.25">
      <c r="A33" s="2" t="s">
        <v>40</v>
      </c>
      <c r="B33" s="7">
        <f>(B26*B30)/(B10*B31*B32)</f>
        <v>1.5260505763641683</v>
      </c>
      <c r="C33" s="7">
        <f t="shared" ref="C33:E33" si="8">(C26*C30)/(C10*C31*C32)</f>
        <v>1.5483096020340209E-2</v>
      </c>
      <c r="D33" s="7">
        <f t="shared" si="8"/>
        <v>0.64716645799141626</v>
      </c>
      <c r="E33" s="7">
        <f t="shared" si="8"/>
        <v>1.8801466482740503</v>
      </c>
      <c r="F33" s="16" t="s">
        <v>62</v>
      </c>
      <c r="G33" s="13">
        <f>_xlfn.CEILING.PRECISE(SUM(B33:E33),)</f>
        <v>5</v>
      </c>
    </row>
    <row r="34" spans="1:7" x14ac:dyDescent="0.25">
      <c r="A34" s="2" t="s">
        <v>41</v>
      </c>
      <c r="B34" s="4">
        <f>_xlfn.CEILING.PRECISE(B33)</f>
        <v>2</v>
      </c>
      <c r="C34" s="4">
        <f t="shared" ref="C34:E34" si="9">_xlfn.CEILING.PRECISE(C33)</f>
        <v>1</v>
      </c>
      <c r="D34" s="4">
        <f t="shared" si="9"/>
        <v>1</v>
      </c>
      <c r="E34" s="4">
        <f t="shared" si="9"/>
        <v>2</v>
      </c>
      <c r="F34" s="4" t="s">
        <v>63</v>
      </c>
      <c r="G34" s="14">
        <f>SUM(B34:E34)</f>
        <v>6</v>
      </c>
    </row>
    <row r="35" spans="1:7" x14ac:dyDescent="0.25">
      <c r="A35" s="2" t="s">
        <v>43</v>
      </c>
      <c r="B35" s="4">
        <f>B34*B8*B9</f>
        <v>70</v>
      </c>
      <c r="C35" s="4">
        <f t="shared" ref="C35:E35" si="10">C34*C8*C9</f>
        <v>80</v>
      </c>
      <c r="D35" s="4">
        <f t="shared" si="10"/>
        <v>6</v>
      </c>
      <c r="E35" s="4">
        <f t="shared" si="10"/>
        <v>96</v>
      </c>
      <c r="F35" s="4" t="s">
        <v>42</v>
      </c>
      <c r="G35" s="15">
        <f>SUM(B35:E35)</f>
        <v>252</v>
      </c>
    </row>
    <row r="36" spans="1:7" x14ac:dyDescent="0.25">
      <c r="A36" s="2" t="s">
        <v>44</v>
      </c>
      <c r="B36" s="8">
        <f>B33*B8*B9</f>
        <v>53.411770172745889</v>
      </c>
      <c r="C36" s="8">
        <f t="shared" ref="C36:E36" si="11">C33*C8*C9</f>
        <v>1.2386476816272167</v>
      </c>
      <c r="D36" s="8">
        <f t="shared" si="11"/>
        <v>3.8829987479484975</v>
      </c>
      <c r="E36" s="8">
        <f t="shared" si="11"/>
        <v>90.247039117154415</v>
      </c>
      <c r="F36" s="16" t="s">
        <v>42</v>
      </c>
      <c r="G36" s="13">
        <f>SUM(B36:E36)</f>
        <v>148.78045571947601</v>
      </c>
    </row>
    <row r="37" spans="1:7" x14ac:dyDescent="0.25">
      <c r="A37" s="2" t="s">
        <v>45</v>
      </c>
      <c r="B37" s="10">
        <f>(B30*B29+C30*C29+D30*D29+E30*E29)/(G23/2)</f>
        <v>1.2519609127556406</v>
      </c>
      <c r="C37" t="s">
        <v>47</v>
      </c>
    </row>
  </sheetData>
  <mergeCells count="4">
    <mergeCell ref="I5:J6"/>
    <mergeCell ref="M5:N6"/>
    <mergeCell ref="P5:Q6"/>
    <mergeCell ref="I11:J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V20" sqref="V20"/>
    </sheetView>
  </sheetViews>
  <sheetFormatPr defaultRowHeight="15" x14ac:dyDescent="0.25"/>
  <cols>
    <col min="1" max="1" width="28" bestFit="1" customWidth="1"/>
    <col min="12" max="12" width="20" bestFit="1" customWidth="1"/>
  </cols>
  <sheetData>
    <row r="1" spans="1:12" x14ac:dyDescent="0.25">
      <c r="A1" s="92"/>
      <c r="B1" s="93" t="s">
        <v>76</v>
      </c>
      <c r="C1" s="93" t="s">
        <v>69</v>
      </c>
      <c r="D1" s="93" t="s">
        <v>67</v>
      </c>
      <c r="E1" s="93" t="s">
        <v>68</v>
      </c>
      <c r="F1" s="93" t="s">
        <v>70</v>
      </c>
      <c r="G1" s="93" t="s">
        <v>71</v>
      </c>
      <c r="H1" s="93" t="s">
        <v>72</v>
      </c>
      <c r="I1" s="93" t="s">
        <v>73</v>
      </c>
      <c r="J1" s="93" t="s">
        <v>72</v>
      </c>
      <c r="K1" s="92"/>
      <c r="L1" s="94"/>
    </row>
    <row r="2" spans="1:12" x14ac:dyDescent="0.25">
      <c r="A2" s="95" t="s">
        <v>29</v>
      </c>
      <c r="B2" s="96"/>
      <c r="C2" s="96"/>
      <c r="D2" s="96"/>
      <c r="E2" s="96"/>
      <c r="F2" s="96"/>
      <c r="G2" s="96"/>
      <c r="H2" s="96"/>
      <c r="I2" s="96"/>
      <c r="J2" s="96"/>
      <c r="K2" s="92" t="s">
        <v>48</v>
      </c>
      <c r="L2" s="97"/>
    </row>
    <row r="3" spans="1:12" x14ac:dyDescent="0.25">
      <c r="A3" s="95" t="s">
        <v>28</v>
      </c>
      <c r="B3" s="96"/>
      <c r="C3" s="96"/>
      <c r="D3" s="96"/>
      <c r="E3" s="96"/>
      <c r="F3" s="96"/>
      <c r="G3" s="96"/>
      <c r="H3" s="96"/>
      <c r="I3" s="96"/>
      <c r="J3" s="96"/>
      <c r="K3" s="92" t="s">
        <v>48</v>
      </c>
      <c r="L3" s="92"/>
    </row>
    <row r="4" spans="1:12" x14ac:dyDescent="0.25">
      <c r="A4" s="95" t="s">
        <v>30</v>
      </c>
      <c r="B4" s="98"/>
      <c r="C4" s="98"/>
      <c r="D4" s="98"/>
      <c r="E4" s="98"/>
      <c r="F4" s="98"/>
      <c r="G4" s="98"/>
      <c r="H4" s="98"/>
      <c r="I4" s="98"/>
      <c r="J4" s="98"/>
      <c r="K4" s="92" t="s">
        <v>32</v>
      </c>
      <c r="L4" s="92"/>
    </row>
    <row r="5" spans="1:12" x14ac:dyDescent="0.25">
      <c r="A5" s="95" t="s">
        <v>46</v>
      </c>
      <c r="B5" s="99"/>
      <c r="C5" s="99"/>
      <c r="D5" s="99"/>
      <c r="E5" s="99"/>
      <c r="F5" s="99"/>
      <c r="G5" s="99"/>
      <c r="H5" s="99"/>
      <c r="I5" s="99"/>
      <c r="J5" s="99"/>
      <c r="K5" s="92" t="s">
        <v>25</v>
      </c>
      <c r="L5" s="92"/>
    </row>
    <row r="6" spans="1:12" x14ac:dyDescent="0.25">
      <c r="A6" s="95" t="s">
        <v>34</v>
      </c>
      <c r="B6" s="100"/>
      <c r="C6" s="100"/>
      <c r="D6" s="100"/>
      <c r="E6" s="100"/>
      <c r="F6" s="100"/>
      <c r="G6" s="100"/>
      <c r="H6" s="100"/>
      <c r="I6" s="100"/>
      <c r="J6" s="100"/>
      <c r="K6" s="92" t="s">
        <v>25</v>
      </c>
      <c r="L6" s="92"/>
    </row>
    <row r="7" spans="1:12" x14ac:dyDescent="0.25">
      <c r="A7" s="95" t="s">
        <v>33</v>
      </c>
      <c r="B7" s="100"/>
      <c r="C7" s="100"/>
      <c r="D7" s="100"/>
      <c r="E7" s="100"/>
      <c r="F7" s="100"/>
      <c r="G7" s="100"/>
      <c r="H7" s="100"/>
      <c r="I7" s="100"/>
      <c r="J7" s="100"/>
      <c r="K7" s="92" t="s">
        <v>25</v>
      </c>
      <c r="L7" s="92"/>
    </row>
    <row r="8" spans="1:12" ht="15.75" thickBot="1" x14ac:dyDescent="0.3">
      <c r="A8" s="95" t="s">
        <v>35</v>
      </c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 t="s">
        <v>113</v>
      </c>
    </row>
    <row r="9" spans="1:12" ht="15.75" thickTop="1" x14ac:dyDescent="0.25">
      <c r="A9" s="95" t="s">
        <v>36</v>
      </c>
      <c r="B9" s="104"/>
      <c r="C9" s="104"/>
      <c r="D9" s="104"/>
      <c r="E9" s="104"/>
      <c r="F9" s="104"/>
      <c r="G9" s="104"/>
      <c r="H9" s="104"/>
      <c r="I9" s="104"/>
      <c r="J9" s="104"/>
      <c r="K9" s="92" t="s">
        <v>49</v>
      </c>
      <c r="L9" s="105"/>
    </row>
    <row r="10" spans="1:12" x14ac:dyDescent="0.25">
      <c r="A10" s="95" t="s">
        <v>37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92" t="s">
        <v>38</v>
      </c>
      <c r="L10" s="92"/>
    </row>
    <row r="11" spans="1:12" x14ac:dyDescent="0.25">
      <c r="A11" s="95" t="s">
        <v>39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92"/>
      <c r="L11" s="94"/>
    </row>
    <row r="12" spans="1:12" x14ac:dyDescent="0.25">
      <c r="A12" s="95" t="s">
        <v>40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8"/>
      <c r="L12" s="105"/>
    </row>
    <row r="13" spans="1:12" x14ac:dyDescent="0.25">
      <c r="A13" s="95" t="s">
        <v>41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8"/>
      <c r="L13" s="105" t="s">
        <v>114</v>
      </c>
    </row>
    <row r="14" spans="1:12" x14ac:dyDescent="0.25">
      <c r="A14" s="95" t="s">
        <v>43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8" t="s">
        <v>42</v>
      </c>
      <c r="L14" s="109"/>
    </row>
    <row r="15" spans="1:12" x14ac:dyDescent="0.25">
      <c r="A15" s="95" t="s">
        <v>44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8" t="s">
        <v>42</v>
      </c>
      <c r="L15" s="109"/>
    </row>
    <row r="16" spans="1:12" ht="15.75" thickBot="1" x14ac:dyDescent="0.3">
      <c r="A16" s="110" t="s">
        <v>116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02"/>
      <c r="L16" s="103" t="s">
        <v>115</v>
      </c>
    </row>
    <row r="17" spans="1:12" ht="16.5" thickTop="1" thickBot="1" x14ac:dyDescent="0.3">
      <c r="A17" s="110"/>
      <c r="B17" s="112"/>
      <c r="C17" s="113"/>
      <c r="D17" s="92"/>
      <c r="E17" s="92"/>
      <c r="F17" s="92"/>
      <c r="G17" s="92"/>
      <c r="H17" s="92"/>
      <c r="I17" s="92"/>
      <c r="J17" s="92"/>
      <c r="K17" s="92"/>
      <c r="L17" s="92"/>
    </row>
    <row r="18" spans="1:12" ht="15.75" thickTop="1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20" spans="1:12" x14ac:dyDescent="0.25">
      <c r="A20" s="95"/>
      <c r="B20" s="93" t="s">
        <v>76</v>
      </c>
      <c r="C20" s="93" t="s">
        <v>69</v>
      </c>
      <c r="D20" s="93" t="s">
        <v>67</v>
      </c>
      <c r="E20" s="93" t="s">
        <v>68</v>
      </c>
      <c r="F20" s="93" t="s">
        <v>70</v>
      </c>
      <c r="G20" s="93" t="s">
        <v>71</v>
      </c>
      <c r="H20" s="93" t="s">
        <v>72</v>
      </c>
      <c r="I20" s="93" t="s">
        <v>73</v>
      </c>
      <c r="J20" s="93" t="s">
        <v>72</v>
      </c>
      <c r="K20" s="92"/>
      <c r="L20" s="92"/>
    </row>
    <row r="21" spans="1:12" x14ac:dyDescent="0.25">
      <c r="A21" s="95" t="s">
        <v>4</v>
      </c>
      <c r="B21" s="106">
        <v>0.01</v>
      </c>
      <c r="C21" s="106">
        <v>0.05</v>
      </c>
      <c r="D21" s="106">
        <v>0.01</v>
      </c>
      <c r="E21" s="106">
        <v>0.01</v>
      </c>
      <c r="F21" s="106">
        <v>5.0000000000000001E-4</v>
      </c>
      <c r="G21" s="106">
        <v>1E-4</v>
      </c>
      <c r="H21" s="106">
        <v>0.01</v>
      </c>
      <c r="I21" s="106">
        <v>5.0000000000000001E-3</v>
      </c>
      <c r="J21" s="115">
        <v>0.01</v>
      </c>
      <c r="K21" s="92"/>
      <c r="L21" s="92"/>
    </row>
    <row r="22" spans="1:12" x14ac:dyDescent="0.25">
      <c r="A22" s="95" t="s">
        <v>5</v>
      </c>
      <c r="B22" s="100">
        <v>8</v>
      </c>
      <c r="C22" s="100">
        <v>8</v>
      </c>
      <c r="D22" s="100">
        <v>4</v>
      </c>
      <c r="E22" s="100">
        <v>6</v>
      </c>
      <c r="F22" s="100">
        <v>6</v>
      </c>
      <c r="G22" s="100">
        <v>8</v>
      </c>
      <c r="H22" s="100">
        <v>20</v>
      </c>
      <c r="I22" s="100">
        <v>6</v>
      </c>
      <c r="J22" s="100">
        <v>20</v>
      </c>
      <c r="K22" s="92" t="s">
        <v>12</v>
      </c>
      <c r="L22" s="92"/>
    </row>
    <row r="23" spans="1:12" x14ac:dyDescent="0.25">
      <c r="A23" s="95" t="s">
        <v>6</v>
      </c>
      <c r="B23" s="100">
        <v>3.5</v>
      </c>
      <c r="C23" s="100">
        <v>3.5</v>
      </c>
      <c r="D23" s="100">
        <v>6</v>
      </c>
      <c r="E23" s="100">
        <v>6</v>
      </c>
      <c r="F23" s="100">
        <v>6</v>
      </c>
      <c r="G23" s="100">
        <v>4</v>
      </c>
      <c r="H23" s="100">
        <v>3</v>
      </c>
      <c r="I23" s="100">
        <v>4</v>
      </c>
      <c r="J23" s="100">
        <v>3</v>
      </c>
      <c r="K23" s="92" t="s">
        <v>12</v>
      </c>
      <c r="L23" s="92"/>
    </row>
    <row r="24" spans="1:12" x14ac:dyDescent="0.25">
      <c r="A24" s="95" t="s">
        <v>7</v>
      </c>
      <c r="B24" s="116">
        <v>4</v>
      </c>
      <c r="C24" s="116">
        <v>4</v>
      </c>
      <c r="D24" s="116">
        <v>1</v>
      </c>
      <c r="E24" s="116">
        <v>1</v>
      </c>
      <c r="F24" s="116">
        <v>1</v>
      </c>
      <c r="G24" s="116">
        <v>4</v>
      </c>
      <c r="H24" s="116">
        <v>1</v>
      </c>
      <c r="I24" s="116">
        <v>2</v>
      </c>
      <c r="J24" s="116">
        <v>1</v>
      </c>
      <c r="K24" s="92"/>
      <c r="L24" s="92"/>
    </row>
    <row r="25" spans="1:12" x14ac:dyDescent="0.25">
      <c r="A25" s="95" t="s">
        <v>9</v>
      </c>
      <c r="B25" s="104">
        <v>103680</v>
      </c>
      <c r="C25" s="104">
        <v>103680</v>
      </c>
      <c r="D25" s="104">
        <v>8640</v>
      </c>
      <c r="E25" s="104">
        <v>1440</v>
      </c>
      <c r="F25" s="104">
        <v>1440</v>
      </c>
      <c r="G25" s="104">
        <v>7200</v>
      </c>
      <c r="H25" s="104">
        <v>311040</v>
      </c>
      <c r="I25" s="104">
        <v>7200</v>
      </c>
      <c r="J25" s="104">
        <v>311040</v>
      </c>
      <c r="K25" s="92" t="s">
        <v>10</v>
      </c>
      <c r="L25" s="92"/>
    </row>
    <row r="26" spans="1:12" x14ac:dyDescent="0.25">
      <c r="A26" s="95" t="s">
        <v>13</v>
      </c>
      <c r="B26" s="100">
        <v>240</v>
      </c>
      <c r="C26" s="100">
        <v>240</v>
      </c>
      <c r="D26" s="100">
        <v>4</v>
      </c>
      <c r="E26" s="100">
        <v>2</v>
      </c>
      <c r="F26" s="100">
        <v>2</v>
      </c>
      <c r="G26" s="100">
        <v>1</v>
      </c>
      <c r="H26" s="100">
        <v>12</v>
      </c>
      <c r="I26" s="100">
        <v>1</v>
      </c>
      <c r="J26" s="100">
        <v>12</v>
      </c>
      <c r="K26" s="92" t="s">
        <v>10</v>
      </c>
      <c r="L26" s="92"/>
    </row>
    <row r="27" spans="1:12" x14ac:dyDescent="0.25">
      <c r="A27" s="95" t="s">
        <v>14</v>
      </c>
      <c r="B27" s="100">
        <v>336</v>
      </c>
      <c r="C27" s="100">
        <v>336</v>
      </c>
      <c r="D27" s="100">
        <v>0.5</v>
      </c>
      <c r="E27" s="100">
        <v>5</v>
      </c>
      <c r="F27" s="100">
        <v>5</v>
      </c>
      <c r="G27" s="100">
        <v>72</v>
      </c>
      <c r="H27" s="100">
        <v>26</v>
      </c>
      <c r="I27" s="100">
        <v>72</v>
      </c>
      <c r="J27" s="100">
        <v>26</v>
      </c>
      <c r="K27" s="92" t="s">
        <v>10</v>
      </c>
      <c r="L27" s="92"/>
    </row>
    <row r="28" spans="1:12" x14ac:dyDescent="0.25">
      <c r="A28" s="95" t="s">
        <v>15</v>
      </c>
      <c r="B28" s="100">
        <v>1104</v>
      </c>
      <c r="C28" s="100">
        <v>1104</v>
      </c>
      <c r="D28" s="100">
        <v>0</v>
      </c>
      <c r="E28" s="100">
        <v>0</v>
      </c>
      <c r="F28" s="100">
        <v>0</v>
      </c>
      <c r="G28" s="100">
        <v>2</v>
      </c>
      <c r="H28" s="100">
        <v>4</v>
      </c>
      <c r="I28" s="100">
        <v>2</v>
      </c>
      <c r="J28" s="100">
        <v>4</v>
      </c>
      <c r="K28" s="92" t="s">
        <v>10</v>
      </c>
      <c r="L28" s="92"/>
    </row>
    <row r="29" spans="1:12" x14ac:dyDescent="0.25">
      <c r="A29" s="95" t="s">
        <v>16</v>
      </c>
      <c r="B29" s="100">
        <v>105</v>
      </c>
      <c r="C29" s="100">
        <v>105</v>
      </c>
      <c r="D29" s="100">
        <v>0.2</v>
      </c>
      <c r="E29" s="100">
        <v>0.2</v>
      </c>
      <c r="F29" s="100">
        <v>0.2</v>
      </c>
      <c r="G29" s="100">
        <v>0.2</v>
      </c>
      <c r="H29" s="100">
        <v>15</v>
      </c>
      <c r="I29" s="100">
        <v>0.2</v>
      </c>
      <c r="J29" s="100">
        <v>15</v>
      </c>
      <c r="K29" s="92" t="s">
        <v>10</v>
      </c>
      <c r="L29" s="92"/>
    </row>
    <row r="30" spans="1:12" x14ac:dyDescent="0.25">
      <c r="A30" s="117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x14ac:dyDescent="0.25">
      <c r="A31" s="95" t="s">
        <v>21</v>
      </c>
      <c r="B31" s="118">
        <v>25.5</v>
      </c>
      <c r="C31" s="118">
        <v>25.5</v>
      </c>
      <c r="D31" s="118">
        <v>25.5</v>
      </c>
      <c r="E31" s="118">
        <v>19</v>
      </c>
      <c r="F31" s="118">
        <v>19</v>
      </c>
      <c r="G31" s="118">
        <v>22</v>
      </c>
      <c r="H31" s="118">
        <v>17</v>
      </c>
      <c r="I31" s="118">
        <v>25</v>
      </c>
      <c r="J31" s="118">
        <v>17</v>
      </c>
      <c r="K31" s="92"/>
      <c r="L31" s="92"/>
    </row>
    <row r="32" spans="1:12" x14ac:dyDescent="0.25">
      <c r="A32" s="95" t="s">
        <v>22</v>
      </c>
      <c r="B32" s="116">
        <v>0.52</v>
      </c>
      <c r="C32" s="116">
        <v>0.52</v>
      </c>
      <c r="D32" s="116">
        <v>0.52</v>
      </c>
      <c r="E32" s="116">
        <v>0.52</v>
      </c>
      <c r="F32" s="116">
        <v>0.52</v>
      </c>
      <c r="G32" s="116">
        <v>0.52</v>
      </c>
      <c r="H32" s="116">
        <v>0.52</v>
      </c>
      <c r="I32" s="116">
        <v>0.52</v>
      </c>
      <c r="J32" s="116">
        <v>0.52</v>
      </c>
      <c r="K32" s="92"/>
      <c r="L32" s="92"/>
    </row>
    <row r="33" spans="1:12" x14ac:dyDescent="0.25">
      <c r="A33" s="95" t="s">
        <v>20</v>
      </c>
      <c r="B33" s="118">
        <v>29</v>
      </c>
      <c r="C33" s="118">
        <v>29</v>
      </c>
      <c r="D33" s="118">
        <v>7</v>
      </c>
      <c r="E33" s="118">
        <v>2</v>
      </c>
      <c r="F33" s="118">
        <v>2</v>
      </c>
      <c r="G33" s="118">
        <v>1</v>
      </c>
      <c r="H33" s="118">
        <v>12</v>
      </c>
      <c r="I33" s="118">
        <v>4</v>
      </c>
      <c r="J33" s="118">
        <v>12</v>
      </c>
      <c r="K33" s="92"/>
      <c r="L33" s="92"/>
    </row>
    <row r="34" spans="1:12" x14ac:dyDescent="0.25">
      <c r="A34" s="117"/>
      <c r="B34" s="92"/>
      <c r="C34" s="108"/>
      <c r="D34" s="108"/>
      <c r="E34" s="108"/>
      <c r="F34" s="108"/>
      <c r="G34" s="108"/>
      <c r="H34" s="108"/>
      <c r="I34" s="108"/>
      <c r="J34" s="108"/>
      <c r="K34" s="92"/>
      <c r="L34" s="92"/>
    </row>
    <row r="35" spans="1:12" x14ac:dyDescent="0.25">
      <c r="A35" s="95" t="s">
        <v>23</v>
      </c>
      <c r="B35" s="100">
        <v>10</v>
      </c>
      <c r="C35" s="100">
        <v>10</v>
      </c>
      <c r="D35" s="100">
        <v>25</v>
      </c>
      <c r="E35" s="100">
        <v>25</v>
      </c>
      <c r="F35" s="100">
        <v>25</v>
      </c>
      <c r="G35" s="100">
        <v>15</v>
      </c>
      <c r="H35" s="100">
        <v>40</v>
      </c>
      <c r="I35" s="100">
        <v>15</v>
      </c>
      <c r="J35" s="100">
        <v>40</v>
      </c>
      <c r="K35" s="92" t="s">
        <v>25</v>
      </c>
      <c r="L35" s="92"/>
    </row>
    <row r="36" spans="1:12" x14ac:dyDescent="0.25">
      <c r="A36" s="95" t="s">
        <v>24</v>
      </c>
      <c r="B36" s="100">
        <v>68</v>
      </c>
      <c r="C36" s="100">
        <v>120</v>
      </c>
      <c r="D36" s="100">
        <v>0</v>
      </c>
      <c r="E36" s="100">
        <v>6</v>
      </c>
      <c r="F36" s="100">
        <v>12</v>
      </c>
      <c r="G36" s="100">
        <v>20</v>
      </c>
      <c r="H36" s="100">
        <v>10</v>
      </c>
      <c r="I36" s="100">
        <v>20</v>
      </c>
      <c r="J36" s="100">
        <v>10</v>
      </c>
      <c r="K36" s="92" t="s">
        <v>25</v>
      </c>
      <c r="L36" s="92"/>
    </row>
    <row r="37" spans="1:12" x14ac:dyDescent="0.25">
      <c r="A37" s="95" t="s">
        <v>27</v>
      </c>
      <c r="B37" s="100">
        <v>42</v>
      </c>
      <c r="C37" s="100">
        <v>50</v>
      </c>
      <c r="D37" s="100">
        <v>5</v>
      </c>
      <c r="E37" s="100">
        <v>25</v>
      </c>
      <c r="F37" s="100">
        <v>25</v>
      </c>
      <c r="G37" s="100">
        <v>30</v>
      </c>
      <c r="H37" s="100">
        <v>45</v>
      </c>
      <c r="I37" s="100">
        <v>30</v>
      </c>
      <c r="J37" s="100">
        <v>45</v>
      </c>
      <c r="K37" s="92" t="s">
        <v>25</v>
      </c>
      <c r="L37" s="92"/>
    </row>
    <row r="38" spans="1:12" x14ac:dyDescent="0.25">
      <c r="A38" s="95" t="s">
        <v>26</v>
      </c>
      <c r="B38" s="100">
        <v>15</v>
      </c>
      <c r="C38" s="100">
        <v>15</v>
      </c>
      <c r="D38" s="100">
        <v>8</v>
      </c>
      <c r="E38" s="100">
        <v>4</v>
      </c>
      <c r="F38" s="100">
        <v>4</v>
      </c>
      <c r="G38" s="100">
        <v>8</v>
      </c>
      <c r="H38" s="100">
        <v>10</v>
      </c>
      <c r="I38" s="100">
        <v>8</v>
      </c>
      <c r="J38" s="100">
        <v>10</v>
      </c>
      <c r="K38" s="92" t="s">
        <v>74</v>
      </c>
      <c r="L38" s="92"/>
    </row>
    <row r="39" spans="1:12" x14ac:dyDescent="0.25">
      <c r="A39" s="95" t="s">
        <v>31</v>
      </c>
      <c r="B39" s="100">
        <v>1.25</v>
      </c>
      <c r="C39" s="100">
        <v>0.5</v>
      </c>
      <c r="D39" s="100">
        <v>4</v>
      </c>
      <c r="E39" s="100">
        <v>1</v>
      </c>
      <c r="F39" s="100">
        <v>1</v>
      </c>
      <c r="G39" s="100">
        <v>4</v>
      </c>
      <c r="H39" s="100">
        <v>1</v>
      </c>
      <c r="I39" s="100">
        <v>2</v>
      </c>
      <c r="J39" s="100">
        <v>1</v>
      </c>
      <c r="K39" s="92" t="s">
        <v>32</v>
      </c>
      <c r="L39" s="92"/>
    </row>
    <row r="40" spans="1:12" x14ac:dyDescent="0.25">
      <c r="A40" s="114"/>
      <c r="B40" s="114"/>
      <c r="C40" s="114"/>
      <c r="D40" s="119"/>
      <c r="E40" s="120"/>
      <c r="F40" s="120"/>
      <c r="G40" s="119"/>
      <c r="H40" s="114"/>
      <c r="I40" s="114"/>
      <c r="J40" s="114"/>
      <c r="K40" s="114"/>
      <c r="L40" s="1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Sheet</vt:lpstr>
      <vt:lpstr>Model OPC</vt:lpstr>
      <vt:lpstr>Large Model with Outputs</vt:lpstr>
      <vt:lpstr>Sheet1 (2)</vt:lpstr>
      <vt:lpstr>Sheet2</vt:lpstr>
      <vt:lpstr>Sheet3</vt:lpstr>
      <vt:lpstr>'Large Model with Outputs'!Print_Area</vt:lpstr>
      <vt:lpstr>'Model OPC'!Print_Area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Jensen, Dean H.</dc:creator>
  <cp:lastModifiedBy>Jensen, Dean H.</cp:lastModifiedBy>
  <cp:lastPrinted>2015-10-01T14:54:08Z</cp:lastPrinted>
  <dcterms:created xsi:type="dcterms:W3CDTF">2011-09-27T05:12:01Z</dcterms:created>
  <dcterms:modified xsi:type="dcterms:W3CDTF">2017-10-03T15:26:30Z</dcterms:modified>
</cp:coreProperties>
</file>